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Opole27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<sst xmlns="http://schemas.openxmlformats.org/spreadsheetml/2006/main" count="37" uniqueCount="37">
  <si>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Okręgowa Komisja Wyborcza nr 27 z siedzibą w Opolu</t>
  </si>
  <si>
    <t>Lp.</t>
  </si>
  <si>
    <t>Kod terytorialny gminy</t>
  </si>
  <si>
    <t>Gmina</t>
  </si>
  <si>
    <t>Powiat</t>
  </si>
  <si>
    <t>Województwo</t>
  </si>
  <si>
    <t>Nr obwodu głosowania</t>
  </si>
  <si>
    <t>Siedziba Obwodowej Komisji Wyborczej</t>
  </si>
  <si>
    <t>Liczba wyborców uprawnionych do głosowania</t>
  </si>
  <si>
    <t>Komisja otrzymała kart do głosowania</t>
  </si>
  <si>
    <t>Liczba wyborców, którym wydano karty do głosowania</t>
  </si>
  <si>
    <t>w tym liczba wyborców głosujących przez pełnomocnika</t>
  </si>
  <si>
    <t>Nie wykorzystano kart do głosowania</t>
  </si>
  <si>
    <t>Liczba kart wyjętych z urny</t>
  </si>
  <si>
    <t>Liczba głosów ważnych</t>
  </si>
  <si>
    <t>Liczba głosów nieważnych</t>
  </si>
  <si>
    <t>="Klub Spółdzielni Mieszkaniowej ZGODA", ul. Brzechwy 3"""</t>
  </si>
  <si>
    <t>="Klub Spółdzielni Mieszkaniowej SAWA", ul. Chocimska 7"""</t>
  </si>
  <si>
    <t>="Siedziba Rady Osiedla Kuźniczka", ul. Grunwaldzka 83"""</t>
  </si>
  <si>
    <t>="Dom Kultury Chemik", Aleja Jana Pawła II 27"""</t>
  </si>
  <si>
    <t>="Budynek Administracji Osiedla Nr 5 - klub Kajtek", ul. Królowej Jadwigi 10"""</t>
  </si>
  <si>
    <t>="Dom Kultury Lech", ul. Wyzwolenia 7b"""</t>
  </si>
  <si>
    <t>="Biurowiec Spółdzielni Mieszkaniowej Przyszłość", ul. Jana Pawła II 5, Kluczbork"""</t>
  </si>
  <si>
    <t>="Fabryka Armatur Głuchołazy" S.A., ul. Wrocławska 1a, Głuchołazy"""</t>
  </si>
  <si>
    <t>="Zakład Usługowo Produkcyjny Komunalnik" Spółka z o.o., ul. Gen. Andersa 4, Głuchołazy"""</t>
  </si>
  <si>
    <t>="Dom Pomocy Społeczbnej Maria", ul. 3 Maja 2, Korfantów"""</t>
  </si>
  <si>
    <t>="Społeczna Szkoła Podstawowa - Stowarzyszenie Przyjazna Szkoła", ul.Szkolna 40, Węgry"""</t>
  </si>
  <si>
    <t>="Przedszkole Publiczne Integracyjne Nr 51, ul. Jana Bytnara Rudego" 1"""</t>
  </si>
  <si>
    <t>="Przedszkole Publiczne Nr 37 Elemelek", ul. Jesionowa 8"""</t>
  </si>
  <si>
    <t>="Zakład Zarządzania Nieruchomościami Odnowa"Sp.z o.o.w Opolu, ul. Wapienna 1"""</t>
  </si>
  <si>
    <t>="Miejski Ośrodek Kultury - Klub Osiedlowy METALCHEM", ul. Oświęcimska 90"""</t>
  </si>
  <si>
    <t>="Klub FENIKS", ul. Alojzego Dambonia 25"""</t>
  </si>
  <si>
    <t>="Zespół Szkół z Oddziałami Intedracyjnymi Publiczna Szkoła Podstawowa Nr 5, ul. Majora Hubala" 2"""</t>
  </si>
  <si>
    <t>="Pawilon Nr 56, ul. Jana Bytnara Rudego" 15"""</t>
  </si>
  <si>
    <t>="MOPR - Dom Dziennego Pobytu, ul. Majora Hubala" 4"""</t>
  </si>
  <si>
    <t>="Publiczne Gimnazjum Nr 1 z Oddziałami Integracyjnymi, ul. Majora Hubala" 2"""</t>
  </si>
  <si>
    <t>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</si>
</sst>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16"/>
  <sheetViews>
    <sheetView tabSelected="1" zoomScalePageLayoutView="0" workbookViewId="0" topLeftCell="A1">
      <selection activeCell="A1" sqref="A1"/>
    </sheetView>
  </sheetViews>
  <sheetFormatPr defaultColWidth="8.796875" defaultRowHeight="14.25"/>
  <sheetData>
    <row r="1" ht="14.25">
      <c r="A1" t="s">
        <v>36</v>
      </c>
    </row>
    <row r="2" ht="14.25">
      <c r="A2" t="s">
        <v>0</v>
      </c>
    </row>
    <row r="4" spans="1:17" ht="14.2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tr">
        <f>"KACZYŃSKI Jarosław Aleksander"</f>
        <v>KACZYŃSKI Jarosław Aleksander</v>
      </c>
      <c r="Q4" t="str">
        <f>"KOMOROWSKI Bronisław Maria"</f>
        <v>KOMOROWSKI Bronisław Maria</v>
      </c>
    </row>
    <row r="5" spans="1:17" ht="14.25">
      <c r="A5">
        <v>1</v>
      </c>
      <c r="B5" t="str">
        <f aca="true" t="shared" si="0" ref="B5:B23">"160101"</f>
        <v>160101</v>
      </c>
      <c r="C5" t="str">
        <f aca="true" t="shared" si="1" ref="C5:C23">"m. Brzeg"</f>
        <v>m. Brzeg</v>
      </c>
      <c r="D5" t="str">
        <f aca="true" t="shared" si="2" ref="D5:D36">"brzeski"</f>
        <v>brzeski</v>
      </c>
      <c r="E5" t="str">
        <f aca="true" t="shared" si="3" ref="E5:E68">"opolskie"</f>
        <v>opolskie</v>
      </c>
      <c r="F5">
        <v>1</v>
      </c>
      <c r="G5" t="str">
        <f>"Miejski Ośrodek Sportu i Rekreacji- Hala Sportowa, ul. Oławska 2"</f>
        <v>Miejski Ośrodek Sportu i Rekreacji- Hala Sportowa, ul. Oławska 2</v>
      </c>
      <c r="H5">
        <v>1592</v>
      </c>
      <c r="I5">
        <v>1519</v>
      </c>
      <c r="J5">
        <v>737</v>
      </c>
      <c r="K5">
        <v>1</v>
      </c>
      <c r="L5">
        <v>782</v>
      </c>
      <c r="M5">
        <v>734</v>
      </c>
      <c r="N5">
        <v>721</v>
      </c>
      <c r="O5">
        <v>13</v>
      </c>
      <c r="P5">
        <v>365</v>
      </c>
      <c r="Q5">
        <v>356</v>
      </c>
    </row>
    <row r="6" spans="1:17" ht="14.25">
      <c r="A6">
        <v>2</v>
      </c>
      <c r="B6" t="str">
        <f t="shared" si="0"/>
        <v>160101</v>
      </c>
      <c r="C6" t="str">
        <f t="shared" si="1"/>
        <v>m. Brzeg</v>
      </c>
      <c r="D6" t="str">
        <f t="shared" si="2"/>
        <v>brzeski</v>
      </c>
      <c r="E6" t="str">
        <f t="shared" si="3"/>
        <v>opolskie</v>
      </c>
      <c r="F6">
        <v>2</v>
      </c>
      <c r="G6" t="str">
        <f>"Urząd Stanu Cywilnego, ul. Rynek-Ratusz"</f>
        <v>Urząd Stanu Cywilnego, ul. Rynek-Ratusz</v>
      </c>
      <c r="H6">
        <v>1992</v>
      </c>
      <c r="I6">
        <v>1840</v>
      </c>
      <c r="J6">
        <v>893</v>
      </c>
      <c r="K6">
        <v>3</v>
      </c>
      <c r="L6">
        <v>947</v>
      </c>
      <c r="M6">
        <v>893</v>
      </c>
      <c r="N6">
        <v>881</v>
      </c>
      <c r="O6">
        <v>12</v>
      </c>
      <c r="P6">
        <v>402</v>
      </c>
      <c r="Q6">
        <v>479</v>
      </c>
    </row>
    <row r="7" spans="1:17" ht="14.25">
      <c r="A7">
        <v>3</v>
      </c>
      <c r="B7" t="str">
        <f t="shared" si="0"/>
        <v>160101</v>
      </c>
      <c r="C7" t="str">
        <f t="shared" si="1"/>
        <v>m. Brzeg</v>
      </c>
      <c r="D7" t="str">
        <f t="shared" si="2"/>
        <v>brzeski</v>
      </c>
      <c r="E7" t="str">
        <f t="shared" si="3"/>
        <v>opolskie</v>
      </c>
      <c r="F7">
        <v>3</v>
      </c>
      <c r="G7" t="str">
        <f>"Brzeskie Centrum Kultury, ul. Mleczna 2"</f>
        <v>Brzeskie Centrum Kultury, ul. Mleczna 2</v>
      </c>
      <c r="H7">
        <v>1821</v>
      </c>
      <c r="I7">
        <v>1680</v>
      </c>
      <c r="J7">
        <v>947</v>
      </c>
      <c r="K7">
        <v>1</v>
      </c>
      <c r="L7">
        <v>733</v>
      </c>
      <c r="M7">
        <v>947</v>
      </c>
      <c r="N7">
        <v>939</v>
      </c>
      <c r="O7">
        <v>8</v>
      </c>
      <c r="P7">
        <v>382</v>
      </c>
      <c r="Q7">
        <v>557</v>
      </c>
    </row>
    <row r="8" spans="1:17" ht="14.25">
      <c r="A8">
        <v>4</v>
      </c>
      <c r="B8" t="str">
        <f t="shared" si="0"/>
        <v>160101</v>
      </c>
      <c r="C8" t="str">
        <f t="shared" si="1"/>
        <v>m. Brzeg</v>
      </c>
      <c r="D8" t="str">
        <f t="shared" si="2"/>
        <v>brzeski</v>
      </c>
      <c r="E8" t="str">
        <f t="shared" si="3"/>
        <v>opolskie</v>
      </c>
      <c r="F8">
        <v>4</v>
      </c>
      <c r="G8" t="str">
        <f>"Publiczna Szkoła Podstawowa Nr 3, ul. Kamienna 2"</f>
        <v>Publiczna Szkoła Podstawowa Nr 3, ul. Kamienna 2</v>
      </c>
      <c r="H8">
        <v>2122</v>
      </c>
      <c r="I8">
        <v>1984</v>
      </c>
      <c r="J8">
        <v>1169</v>
      </c>
      <c r="K8">
        <v>1</v>
      </c>
      <c r="L8">
        <v>815</v>
      </c>
      <c r="M8">
        <v>1169</v>
      </c>
      <c r="N8">
        <v>1156</v>
      </c>
      <c r="O8">
        <v>13</v>
      </c>
      <c r="P8">
        <v>536</v>
      </c>
      <c r="Q8">
        <v>620</v>
      </c>
    </row>
    <row r="9" spans="1:17" ht="14.25">
      <c r="A9">
        <v>5</v>
      </c>
      <c r="B9" t="str">
        <f t="shared" si="0"/>
        <v>160101</v>
      </c>
      <c r="C9" t="str">
        <f t="shared" si="1"/>
        <v>m. Brzeg</v>
      </c>
      <c r="D9" t="str">
        <f t="shared" si="2"/>
        <v>brzeski</v>
      </c>
      <c r="E9" t="str">
        <f t="shared" si="3"/>
        <v>opolskie</v>
      </c>
      <c r="F9">
        <v>5</v>
      </c>
      <c r="G9" t="str">
        <f>"Publiczne Gimnazjum nr 3, ul. Boh. Monte Cassino 14"</f>
        <v>Publiczne Gimnazjum nr 3, ul. Boh. Monte Cassino 14</v>
      </c>
      <c r="H9">
        <v>2196</v>
      </c>
      <c r="I9">
        <v>2079</v>
      </c>
      <c r="J9">
        <v>1109</v>
      </c>
      <c r="K9">
        <v>0</v>
      </c>
      <c r="L9">
        <v>970</v>
      </c>
      <c r="M9">
        <v>1109</v>
      </c>
      <c r="N9">
        <v>1093</v>
      </c>
      <c r="O9">
        <v>16</v>
      </c>
      <c r="P9">
        <v>443</v>
      </c>
      <c r="Q9">
        <v>650</v>
      </c>
    </row>
    <row r="10" spans="1:17" ht="14.25">
      <c r="A10">
        <v>6</v>
      </c>
      <c r="B10" t="str">
        <f t="shared" si="0"/>
        <v>160101</v>
      </c>
      <c r="C10" t="str">
        <f t="shared" si="1"/>
        <v>m. Brzeg</v>
      </c>
      <c r="D10" t="str">
        <f t="shared" si="2"/>
        <v>brzeski</v>
      </c>
      <c r="E10" t="str">
        <f t="shared" si="3"/>
        <v>opolskie</v>
      </c>
      <c r="F10">
        <v>6</v>
      </c>
      <c r="G10" t="str">
        <f>"Przedszkole Publiczne Nr 5, ul. Boh. Monte Cassino 1"</f>
        <v>Przedszkole Publiczne Nr 5, ul. Boh. Monte Cassino 1</v>
      </c>
      <c r="H10">
        <v>2382</v>
      </c>
      <c r="I10">
        <v>2240</v>
      </c>
      <c r="J10">
        <v>1244</v>
      </c>
      <c r="K10">
        <v>2</v>
      </c>
      <c r="L10">
        <v>996</v>
      </c>
      <c r="M10">
        <v>1244</v>
      </c>
      <c r="N10">
        <v>1198</v>
      </c>
      <c r="O10">
        <v>46</v>
      </c>
      <c r="P10">
        <v>416</v>
      </c>
      <c r="Q10">
        <v>782</v>
      </c>
    </row>
    <row r="11" spans="1:17" ht="14.25">
      <c r="A11">
        <v>7</v>
      </c>
      <c r="B11" t="str">
        <f t="shared" si="0"/>
        <v>160101</v>
      </c>
      <c r="C11" t="str">
        <f t="shared" si="1"/>
        <v>m. Brzeg</v>
      </c>
      <c r="D11" t="str">
        <f t="shared" si="2"/>
        <v>brzeski</v>
      </c>
      <c r="E11" t="str">
        <f t="shared" si="3"/>
        <v>opolskie</v>
      </c>
      <c r="F11">
        <v>7</v>
      </c>
      <c r="G11" t="s">
        <v>16</v>
      </c>
      <c r="H11">
        <v>1809</v>
      </c>
      <c r="I11">
        <v>1680</v>
      </c>
      <c r="J11">
        <v>1052</v>
      </c>
      <c r="K11">
        <v>2</v>
      </c>
      <c r="L11">
        <v>628</v>
      </c>
      <c r="M11">
        <v>1052</v>
      </c>
      <c r="N11">
        <v>1042</v>
      </c>
      <c r="O11">
        <v>10</v>
      </c>
      <c r="P11">
        <v>478</v>
      </c>
      <c r="Q11">
        <v>564</v>
      </c>
    </row>
    <row r="12" spans="1:17" ht="14.25">
      <c r="A12">
        <v>8</v>
      </c>
      <c r="B12" t="str">
        <f t="shared" si="0"/>
        <v>160101</v>
      </c>
      <c r="C12" t="str">
        <f t="shared" si="1"/>
        <v>m. Brzeg</v>
      </c>
      <c r="D12" t="str">
        <f t="shared" si="2"/>
        <v>brzeski</v>
      </c>
      <c r="E12" t="str">
        <f t="shared" si="3"/>
        <v>opolskie</v>
      </c>
      <c r="F12">
        <v>8</v>
      </c>
      <c r="G12" t="str">
        <f>"Zespół Szkół Nr 1 z Oddziałami Sportowymi, ul. Poprzeczna 1"</f>
        <v>Zespół Szkół Nr 1 z Oddziałami Sportowymi, ul. Poprzeczna 1</v>
      </c>
      <c r="H12">
        <v>1990</v>
      </c>
      <c r="I12">
        <v>1840</v>
      </c>
      <c r="J12">
        <v>1126</v>
      </c>
      <c r="K12">
        <v>0</v>
      </c>
      <c r="L12">
        <v>714</v>
      </c>
      <c r="M12">
        <v>1126</v>
      </c>
      <c r="N12">
        <v>1114</v>
      </c>
      <c r="O12">
        <v>12</v>
      </c>
      <c r="P12">
        <v>455</v>
      </c>
      <c r="Q12">
        <v>659</v>
      </c>
    </row>
    <row r="13" spans="1:17" ht="14.25">
      <c r="A13">
        <v>9</v>
      </c>
      <c r="B13" t="str">
        <f t="shared" si="0"/>
        <v>160101</v>
      </c>
      <c r="C13" t="str">
        <f t="shared" si="1"/>
        <v>m. Brzeg</v>
      </c>
      <c r="D13" t="str">
        <f t="shared" si="2"/>
        <v>brzeski</v>
      </c>
      <c r="E13" t="str">
        <f t="shared" si="3"/>
        <v>opolskie</v>
      </c>
      <c r="F13">
        <v>9</v>
      </c>
      <c r="G13" t="s">
        <v>17</v>
      </c>
      <c r="H13">
        <v>1810</v>
      </c>
      <c r="I13">
        <v>1680</v>
      </c>
      <c r="J13">
        <v>1042</v>
      </c>
      <c r="K13">
        <v>2</v>
      </c>
      <c r="L13">
        <v>638</v>
      </c>
      <c r="M13">
        <v>1042</v>
      </c>
      <c r="N13">
        <v>1036</v>
      </c>
      <c r="O13">
        <v>6</v>
      </c>
      <c r="P13">
        <v>464</v>
      </c>
      <c r="Q13">
        <v>572</v>
      </c>
    </row>
    <row r="14" spans="1:17" ht="14.25">
      <c r="A14">
        <v>10</v>
      </c>
      <c r="B14" t="str">
        <f t="shared" si="0"/>
        <v>160101</v>
      </c>
      <c r="C14" t="str">
        <f t="shared" si="1"/>
        <v>m. Brzeg</v>
      </c>
      <c r="D14" t="str">
        <f t="shared" si="2"/>
        <v>brzeski</v>
      </c>
      <c r="E14" t="str">
        <f t="shared" si="3"/>
        <v>opolskie</v>
      </c>
      <c r="F14">
        <v>10</v>
      </c>
      <c r="G14" t="str">
        <f>"Nadleśnictwo Brzeg, ul. Kilińskiego 1"</f>
        <v>Nadleśnictwo Brzeg, ul. Kilińskiego 1</v>
      </c>
      <c r="H14">
        <v>1279</v>
      </c>
      <c r="I14">
        <v>1200</v>
      </c>
      <c r="J14">
        <v>758</v>
      </c>
      <c r="K14">
        <v>0</v>
      </c>
      <c r="L14">
        <v>442</v>
      </c>
      <c r="M14">
        <v>758</v>
      </c>
      <c r="N14">
        <v>747</v>
      </c>
      <c r="O14">
        <v>11</v>
      </c>
      <c r="P14">
        <v>278</v>
      </c>
      <c r="Q14">
        <v>469</v>
      </c>
    </row>
    <row r="15" spans="1:17" ht="14.25">
      <c r="A15">
        <v>11</v>
      </c>
      <c r="B15" t="str">
        <f t="shared" si="0"/>
        <v>160101</v>
      </c>
      <c r="C15" t="str">
        <f t="shared" si="1"/>
        <v>m. Brzeg</v>
      </c>
      <c r="D15" t="str">
        <f t="shared" si="2"/>
        <v>brzeski</v>
      </c>
      <c r="E15" t="str">
        <f t="shared" si="3"/>
        <v>opolskie</v>
      </c>
      <c r="F15">
        <v>11</v>
      </c>
      <c r="G15" t="str">
        <f>"Zespół Szkół Nr 2 z Oddziałami Integracyjnymi, ul. Lompy 1"</f>
        <v>Zespół Szkół Nr 2 z Oddziałami Integracyjnymi, ul. Lompy 1</v>
      </c>
      <c r="H15">
        <v>1127</v>
      </c>
      <c r="I15">
        <v>1040</v>
      </c>
      <c r="J15">
        <v>655</v>
      </c>
      <c r="K15">
        <v>0</v>
      </c>
      <c r="L15">
        <v>385</v>
      </c>
      <c r="M15">
        <v>654</v>
      </c>
      <c r="N15">
        <v>649</v>
      </c>
      <c r="O15">
        <v>5</v>
      </c>
      <c r="P15">
        <v>251</v>
      </c>
      <c r="Q15">
        <v>398</v>
      </c>
    </row>
    <row r="16" spans="1:17" ht="14.25">
      <c r="A16">
        <v>12</v>
      </c>
      <c r="B16" t="str">
        <f t="shared" si="0"/>
        <v>160101</v>
      </c>
      <c r="C16" t="str">
        <f t="shared" si="1"/>
        <v>m. Brzeg</v>
      </c>
      <c r="D16" t="str">
        <f t="shared" si="2"/>
        <v>brzeski</v>
      </c>
      <c r="E16" t="str">
        <f t="shared" si="3"/>
        <v>opolskie</v>
      </c>
      <c r="F16">
        <v>12</v>
      </c>
      <c r="G16" t="str">
        <f>"Zespół Szkół Zawodowych Nr 1, ul. Słowiańska 18"</f>
        <v>Zespół Szkół Zawodowych Nr 1, ul. Słowiańska 18</v>
      </c>
      <c r="H16">
        <v>2012</v>
      </c>
      <c r="I16">
        <v>1840</v>
      </c>
      <c r="J16">
        <v>1059</v>
      </c>
      <c r="K16">
        <v>1</v>
      </c>
      <c r="L16">
        <v>781</v>
      </c>
      <c r="M16">
        <v>1059</v>
      </c>
      <c r="N16">
        <v>1046</v>
      </c>
      <c r="O16">
        <v>13</v>
      </c>
      <c r="P16">
        <v>431</v>
      </c>
      <c r="Q16">
        <v>615</v>
      </c>
    </row>
    <row r="17" spans="1:17" ht="14.25">
      <c r="A17">
        <v>13</v>
      </c>
      <c r="B17" t="str">
        <f t="shared" si="0"/>
        <v>160101</v>
      </c>
      <c r="C17" t="str">
        <f t="shared" si="1"/>
        <v>m. Brzeg</v>
      </c>
      <c r="D17" t="str">
        <f t="shared" si="2"/>
        <v>brzeski</v>
      </c>
      <c r="E17" t="str">
        <f t="shared" si="3"/>
        <v>opolskie</v>
      </c>
      <c r="F17">
        <v>13</v>
      </c>
      <c r="G17" t="str">
        <f>"Dzienny Dom Pomocy Społecznej, ul. Piastowska 29"</f>
        <v>Dzienny Dom Pomocy Społecznej, ul. Piastowska 29</v>
      </c>
      <c r="H17">
        <v>1954</v>
      </c>
      <c r="I17">
        <v>1828</v>
      </c>
      <c r="J17">
        <v>1022</v>
      </c>
      <c r="K17">
        <v>1</v>
      </c>
      <c r="L17">
        <v>806</v>
      </c>
      <c r="M17">
        <v>1022</v>
      </c>
      <c r="N17">
        <v>1017</v>
      </c>
      <c r="O17">
        <v>5</v>
      </c>
      <c r="P17">
        <v>442</v>
      </c>
      <c r="Q17">
        <v>575</v>
      </c>
    </row>
    <row r="18" spans="1:17" ht="14.25">
      <c r="A18">
        <v>14</v>
      </c>
      <c r="B18" t="str">
        <f t="shared" si="0"/>
        <v>160101</v>
      </c>
      <c r="C18" t="str">
        <f t="shared" si="1"/>
        <v>m. Brzeg</v>
      </c>
      <c r="D18" t="str">
        <f t="shared" si="2"/>
        <v>brzeski</v>
      </c>
      <c r="E18" t="str">
        <f t="shared" si="3"/>
        <v>opolskie</v>
      </c>
      <c r="F18">
        <v>14</v>
      </c>
      <c r="G18" t="str">
        <f>"II Liceum Ogólnokształcące, ul. 1 Maja 7"</f>
        <v>II Liceum Ogólnokształcące, ul. 1 Maja 7</v>
      </c>
      <c r="H18">
        <v>2188</v>
      </c>
      <c r="I18">
        <v>2079</v>
      </c>
      <c r="J18">
        <v>1306</v>
      </c>
      <c r="K18">
        <v>0</v>
      </c>
      <c r="L18">
        <v>773</v>
      </c>
      <c r="M18">
        <v>1306</v>
      </c>
      <c r="N18">
        <v>1292</v>
      </c>
      <c r="O18">
        <v>14</v>
      </c>
      <c r="P18">
        <v>521</v>
      </c>
      <c r="Q18">
        <v>771</v>
      </c>
    </row>
    <row r="19" spans="1:17" ht="14.25">
      <c r="A19">
        <v>15</v>
      </c>
      <c r="B19" t="str">
        <f t="shared" si="0"/>
        <v>160101</v>
      </c>
      <c r="C19" t="str">
        <f t="shared" si="1"/>
        <v>m. Brzeg</v>
      </c>
      <c r="D19" t="str">
        <f t="shared" si="2"/>
        <v>brzeski</v>
      </c>
      <c r="E19" t="str">
        <f t="shared" si="3"/>
        <v>opolskie</v>
      </c>
      <c r="F19">
        <v>15</v>
      </c>
      <c r="G19" t="str">
        <f>"Publiczna Szkoła Podstawowa nr 5, ul. Robotnicza 22"</f>
        <v>Publiczna Szkoła Podstawowa nr 5, ul. Robotnicza 22</v>
      </c>
      <c r="H19">
        <v>2284</v>
      </c>
      <c r="I19">
        <v>2160</v>
      </c>
      <c r="J19">
        <v>1221</v>
      </c>
      <c r="K19">
        <v>2</v>
      </c>
      <c r="L19">
        <v>939</v>
      </c>
      <c r="M19">
        <v>1220</v>
      </c>
      <c r="N19">
        <v>1205</v>
      </c>
      <c r="O19">
        <v>15</v>
      </c>
      <c r="P19">
        <v>449</v>
      </c>
      <c r="Q19">
        <v>756</v>
      </c>
    </row>
    <row r="20" spans="1:17" ht="14.25">
      <c r="A20">
        <v>16</v>
      </c>
      <c r="B20" t="str">
        <f t="shared" si="0"/>
        <v>160101</v>
      </c>
      <c r="C20" t="str">
        <f t="shared" si="1"/>
        <v>m. Brzeg</v>
      </c>
      <c r="D20" t="str">
        <f t="shared" si="2"/>
        <v>brzeski</v>
      </c>
      <c r="E20" t="str">
        <f t="shared" si="3"/>
        <v>opolskie</v>
      </c>
      <c r="F20">
        <v>16</v>
      </c>
      <c r="G20" t="str">
        <f>"Zespół Szkół Nr 1 z Oddziałami Sportowymi, ul. Poprzeczna 1"</f>
        <v>Zespół Szkół Nr 1 z Oddziałami Sportowymi, ul. Poprzeczna 1</v>
      </c>
      <c r="H20">
        <v>1321</v>
      </c>
      <c r="I20">
        <v>1276</v>
      </c>
      <c r="J20">
        <v>759</v>
      </c>
      <c r="K20">
        <v>1</v>
      </c>
      <c r="L20">
        <v>517</v>
      </c>
      <c r="M20">
        <v>759</v>
      </c>
      <c r="N20">
        <v>745</v>
      </c>
      <c r="O20">
        <v>14</v>
      </c>
      <c r="P20">
        <v>291</v>
      </c>
      <c r="Q20">
        <v>454</v>
      </c>
    </row>
    <row r="21" spans="1:17" ht="14.25">
      <c r="A21">
        <v>17</v>
      </c>
      <c r="B21" t="str">
        <f t="shared" si="0"/>
        <v>160101</v>
      </c>
      <c r="C21" t="str">
        <f t="shared" si="1"/>
        <v>m. Brzeg</v>
      </c>
      <c r="D21" t="str">
        <f t="shared" si="2"/>
        <v>brzeski</v>
      </c>
      <c r="E21" t="str">
        <f t="shared" si="3"/>
        <v>opolskie</v>
      </c>
      <c r="F21">
        <v>17</v>
      </c>
      <c r="G21" t="str">
        <f>"Zakład Karny, ul. Chrobrego 29"</f>
        <v>Zakład Karny, ul. Chrobrego 29</v>
      </c>
      <c r="H21">
        <v>395</v>
      </c>
      <c r="I21">
        <v>400</v>
      </c>
      <c r="J21">
        <v>252</v>
      </c>
      <c r="K21">
        <v>0</v>
      </c>
      <c r="L21">
        <v>148</v>
      </c>
      <c r="M21">
        <v>252</v>
      </c>
      <c r="N21">
        <v>245</v>
      </c>
      <c r="O21">
        <v>7</v>
      </c>
      <c r="P21">
        <v>12</v>
      </c>
      <c r="Q21">
        <v>233</v>
      </c>
    </row>
    <row r="22" spans="1:17" ht="14.25">
      <c r="A22">
        <v>18</v>
      </c>
      <c r="B22" t="str">
        <f t="shared" si="0"/>
        <v>160101</v>
      </c>
      <c r="C22" t="str">
        <f t="shared" si="1"/>
        <v>m. Brzeg</v>
      </c>
      <c r="D22" t="str">
        <f t="shared" si="2"/>
        <v>brzeski</v>
      </c>
      <c r="E22" t="str">
        <f t="shared" si="3"/>
        <v>opolskie</v>
      </c>
      <c r="F22">
        <v>18</v>
      </c>
      <c r="G22" t="str">
        <f>"Brzeskie Centrum Medyczne, ul. Mossora 1"</f>
        <v>Brzeskie Centrum Medyczne, ul. Mossora 1</v>
      </c>
      <c r="H22">
        <v>102</v>
      </c>
      <c r="I22">
        <v>194</v>
      </c>
      <c r="J22">
        <v>36</v>
      </c>
      <c r="K22">
        <v>0</v>
      </c>
      <c r="L22">
        <v>158</v>
      </c>
      <c r="M22">
        <v>36</v>
      </c>
      <c r="N22">
        <v>36</v>
      </c>
      <c r="O22">
        <v>0</v>
      </c>
      <c r="P22">
        <v>13</v>
      </c>
      <c r="Q22">
        <v>23</v>
      </c>
    </row>
    <row r="23" spans="1:17" ht="14.25">
      <c r="A23">
        <v>19</v>
      </c>
      <c r="B23" t="str">
        <f t="shared" si="0"/>
        <v>160101</v>
      </c>
      <c r="C23" t="str">
        <f t="shared" si="1"/>
        <v>m. Brzeg</v>
      </c>
      <c r="D23" t="str">
        <f t="shared" si="2"/>
        <v>brzeski</v>
      </c>
      <c r="E23" t="str">
        <f t="shared" si="3"/>
        <v>opolskie</v>
      </c>
      <c r="F23">
        <v>19</v>
      </c>
      <c r="G23" t="str">
        <f>"Brzeskie Centrum Medyczne, ul. Nysańska 4-6"</f>
        <v>Brzeskie Centrum Medyczne, ul. Nysańska 4-6</v>
      </c>
      <c r="H23">
        <v>31</v>
      </c>
      <c r="I23">
        <v>97</v>
      </c>
      <c r="J23">
        <v>18</v>
      </c>
      <c r="K23">
        <v>0</v>
      </c>
      <c r="L23">
        <v>79</v>
      </c>
      <c r="M23">
        <v>18</v>
      </c>
      <c r="N23">
        <v>18</v>
      </c>
      <c r="O23">
        <v>0</v>
      </c>
      <c r="P23">
        <v>9</v>
      </c>
      <c r="Q23">
        <v>9</v>
      </c>
    </row>
    <row r="24" spans="1:17" ht="14.25">
      <c r="A24">
        <v>20</v>
      </c>
      <c r="B24" t="str">
        <f aca="true" t="shared" si="4" ref="B24:B38">"160102"</f>
        <v>160102</v>
      </c>
      <c r="C24" t="str">
        <f aca="true" t="shared" si="5" ref="C24:C38">"gm. Skarbimierz"</f>
        <v>gm. Skarbimierz</v>
      </c>
      <c r="D24" t="str">
        <f t="shared" si="2"/>
        <v>brzeski</v>
      </c>
      <c r="E24" t="str">
        <f t="shared" si="3"/>
        <v>opolskie</v>
      </c>
      <c r="F24">
        <v>1</v>
      </c>
      <c r="G24" t="str">
        <f>"Dom Ludowy, Kopanie 14, Kopanie"</f>
        <v>Dom Ludowy, Kopanie 14, Kopanie</v>
      </c>
      <c r="H24">
        <v>133</v>
      </c>
      <c r="I24">
        <v>125</v>
      </c>
      <c r="J24">
        <v>71</v>
      </c>
      <c r="K24">
        <v>0</v>
      </c>
      <c r="L24">
        <v>54</v>
      </c>
      <c r="M24">
        <v>71</v>
      </c>
      <c r="N24">
        <v>71</v>
      </c>
      <c r="O24">
        <v>0</v>
      </c>
      <c r="P24">
        <v>44</v>
      </c>
      <c r="Q24">
        <v>27</v>
      </c>
    </row>
    <row r="25" spans="1:17" ht="14.25">
      <c r="A25">
        <v>21</v>
      </c>
      <c r="B25" t="str">
        <f t="shared" si="4"/>
        <v>160102</v>
      </c>
      <c r="C25" t="str">
        <f t="shared" si="5"/>
        <v>gm. Skarbimierz</v>
      </c>
      <c r="D25" t="str">
        <f t="shared" si="2"/>
        <v>brzeski</v>
      </c>
      <c r="E25" t="str">
        <f t="shared" si="3"/>
        <v>opolskie</v>
      </c>
      <c r="F25">
        <v>2</v>
      </c>
      <c r="G25" t="str">
        <f>"Dom Ludowy, Zwanowice 44, Zwanowice"</f>
        <v>Dom Ludowy, Zwanowice 44, Zwanowice</v>
      </c>
      <c r="H25">
        <v>314</v>
      </c>
      <c r="I25">
        <v>297</v>
      </c>
      <c r="J25">
        <v>143</v>
      </c>
      <c r="K25">
        <v>0</v>
      </c>
      <c r="L25">
        <v>154</v>
      </c>
      <c r="M25">
        <v>143</v>
      </c>
      <c r="N25">
        <v>142</v>
      </c>
      <c r="O25">
        <v>1</v>
      </c>
      <c r="P25">
        <v>94</v>
      </c>
      <c r="Q25">
        <v>48</v>
      </c>
    </row>
    <row r="26" spans="1:17" ht="14.25">
      <c r="A26">
        <v>22</v>
      </c>
      <c r="B26" t="str">
        <f t="shared" si="4"/>
        <v>160102</v>
      </c>
      <c r="C26" t="str">
        <f t="shared" si="5"/>
        <v>gm. Skarbimierz</v>
      </c>
      <c r="D26" t="str">
        <f t="shared" si="2"/>
        <v>brzeski</v>
      </c>
      <c r="E26" t="str">
        <f t="shared" si="3"/>
        <v>opolskie</v>
      </c>
      <c r="F26">
        <v>3</v>
      </c>
      <c r="G26" t="str">
        <f>"Przedszkole, Kruszyna 62, Kruszyna"</f>
        <v>Przedszkole, Kruszyna 62, Kruszyna</v>
      </c>
      <c r="H26">
        <v>236</v>
      </c>
      <c r="I26">
        <v>225</v>
      </c>
      <c r="J26">
        <v>149</v>
      </c>
      <c r="K26">
        <v>0</v>
      </c>
      <c r="L26">
        <v>76</v>
      </c>
      <c r="M26">
        <v>149</v>
      </c>
      <c r="N26">
        <v>143</v>
      </c>
      <c r="O26">
        <v>6</v>
      </c>
      <c r="P26">
        <v>94</v>
      </c>
      <c r="Q26">
        <v>49</v>
      </c>
    </row>
    <row r="27" spans="1:17" ht="14.25">
      <c r="A27">
        <v>23</v>
      </c>
      <c r="B27" t="str">
        <f t="shared" si="4"/>
        <v>160102</v>
      </c>
      <c r="C27" t="str">
        <f t="shared" si="5"/>
        <v>gm. Skarbimierz</v>
      </c>
      <c r="D27" t="str">
        <f t="shared" si="2"/>
        <v>brzeski</v>
      </c>
      <c r="E27" t="str">
        <f t="shared" si="3"/>
        <v>opolskie</v>
      </c>
      <c r="F27">
        <v>4</v>
      </c>
      <c r="G27" t="str">
        <f>"Świetlica wiejska ,Prędocin 17, Prędocin"</f>
        <v>Świetlica wiejska ,Prędocin 17, Prędocin</v>
      </c>
      <c r="H27">
        <v>168</v>
      </c>
      <c r="I27">
        <v>164</v>
      </c>
      <c r="J27">
        <v>87</v>
      </c>
      <c r="K27">
        <v>0</v>
      </c>
      <c r="L27">
        <v>77</v>
      </c>
      <c r="M27">
        <v>87</v>
      </c>
      <c r="N27">
        <v>86</v>
      </c>
      <c r="O27">
        <v>1</v>
      </c>
      <c r="P27">
        <v>42</v>
      </c>
      <c r="Q27">
        <v>44</v>
      </c>
    </row>
    <row r="28" spans="1:17" ht="14.25">
      <c r="A28">
        <v>24</v>
      </c>
      <c r="B28" t="str">
        <f t="shared" si="4"/>
        <v>160102</v>
      </c>
      <c r="C28" t="str">
        <f t="shared" si="5"/>
        <v>gm. Skarbimierz</v>
      </c>
      <c r="D28" t="str">
        <f t="shared" si="2"/>
        <v>brzeski</v>
      </c>
      <c r="E28" t="str">
        <f t="shared" si="3"/>
        <v>opolskie</v>
      </c>
      <c r="F28">
        <v>5</v>
      </c>
      <c r="G28" t="str">
        <f>"Świetlica wiejska,ul.Wesoła 11, Pawłów"</f>
        <v>Świetlica wiejska,ul.Wesoła 11, Pawłów</v>
      </c>
      <c r="H28">
        <v>370</v>
      </c>
      <c r="I28">
        <v>354</v>
      </c>
      <c r="J28">
        <v>209</v>
      </c>
      <c r="K28">
        <v>0</v>
      </c>
      <c r="L28">
        <v>145</v>
      </c>
      <c r="M28">
        <v>209</v>
      </c>
      <c r="N28">
        <v>206</v>
      </c>
      <c r="O28">
        <v>3</v>
      </c>
      <c r="P28">
        <v>106</v>
      </c>
      <c r="Q28">
        <v>100</v>
      </c>
    </row>
    <row r="29" spans="1:17" ht="14.25">
      <c r="A29">
        <v>25</v>
      </c>
      <c r="B29" t="str">
        <f t="shared" si="4"/>
        <v>160102</v>
      </c>
      <c r="C29" t="str">
        <f t="shared" si="5"/>
        <v>gm. Skarbimierz</v>
      </c>
      <c r="D29" t="str">
        <f t="shared" si="2"/>
        <v>brzeski</v>
      </c>
      <c r="E29" t="str">
        <f t="shared" si="3"/>
        <v>opolskie</v>
      </c>
      <c r="F29">
        <v>6</v>
      </c>
      <c r="G29" t="str">
        <f>"Internat Zespołu Szkół Rolniczych w Żłobiźnie, Żłobizna 80A, Żłobizna"</f>
        <v>Internat Zespołu Szkół Rolniczych w Żłobiźnie, Żłobizna 80A, Żłobizna</v>
      </c>
      <c r="H29">
        <v>419</v>
      </c>
      <c r="I29">
        <v>413</v>
      </c>
      <c r="J29">
        <v>255</v>
      </c>
      <c r="K29">
        <v>0</v>
      </c>
      <c r="L29">
        <v>158</v>
      </c>
      <c r="M29">
        <v>255</v>
      </c>
      <c r="N29">
        <v>252</v>
      </c>
      <c r="O29">
        <v>3</v>
      </c>
      <c r="P29">
        <v>113</v>
      </c>
      <c r="Q29">
        <v>139</v>
      </c>
    </row>
    <row r="30" spans="1:17" ht="14.25">
      <c r="A30">
        <v>26</v>
      </c>
      <c r="B30" t="str">
        <f t="shared" si="4"/>
        <v>160102</v>
      </c>
      <c r="C30" t="str">
        <f t="shared" si="5"/>
        <v>gm. Skarbimierz</v>
      </c>
      <c r="D30" t="str">
        <f t="shared" si="2"/>
        <v>brzeski</v>
      </c>
      <c r="E30" t="str">
        <f t="shared" si="3"/>
        <v>opolskie</v>
      </c>
      <c r="F30">
        <v>7</v>
      </c>
      <c r="G30" t="str">
        <f>"Świetlica wiejska, Skarbimierz 25, Skarbimierz"</f>
        <v>Świetlica wiejska, Skarbimierz 25, Skarbimierz</v>
      </c>
      <c r="H30">
        <v>164</v>
      </c>
      <c r="I30">
        <v>152</v>
      </c>
      <c r="J30">
        <v>97</v>
      </c>
      <c r="K30">
        <v>0</v>
      </c>
      <c r="L30">
        <v>55</v>
      </c>
      <c r="M30">
        <v>97</v>
      </c>
      <c r="N30">
        <v>96</v>
      </c>
      <c r="O30">
        <v>1</v>
      </c>
      <c r="P30">
        <v>43</v>
      </c>
      <c r="Q30">
        <v>53</v>
      </c>
    </row>
    <row r="31" spans="1:17" ht="14.25">
      <c r="A31">
        <v>27</v>
      </c>
      <c r="B31" t="str">
        <f t="shared" si="4"/>
        <v>160102</v>
      </c>
      <c r="C31" t="str">
        <f t="shared" si="5"/>
        <v>gm. Skarbimierz</v>
      </c>
      <c r="D31" t="str">
        <f t="shared" si="2"/>
        <v>brzeski</v>
      </c>
      <c r="E31" t="str">
        <f t="shared" si="3"/>
        <v>opolskie</v>
      </c>
      <c r="F31">
        <v>8</v>
      </c>
      <c r="G31" t="str">
        <f>"Dom Ludowy, ul.Klonowa 7, Zielęcice"</f>
        <v>Dom Ludowy, ul.Klonowa 7, Zielęcice</v>
      </c>
      <c r="H31">
        <v>241</v>
      </c>
      <c r="I31">
        <v>228</v>
      </c>
      <c r="J31">
        <v>164</v>
      </c>
      <c r="K31">
        <v>0</v>
      </c>
      <c r="L31">
        <v>64</v>
      </c>
      <c r="M31">
        <v>164</v>
      </c>
      <c r="N31">
        <v>163</v>
      </c>
      <c r="O31">
        <v>1</v>
      </c>
      <c r="P31">
        <v>66</v>
      </c>
      <c r="Q31">
        <v>97</v>
      </c>
    </row>
    <row r="32" spans="1:17" ht="14.25">
      <c r="A32">
        <v>28</v>
      </c>
      <c r="B32" t="str">
        <f t="shared" si="4"/>
        <v>160102</v>
      </c>
      <c r="C32" t="str">
        <f t="shared" si="5"/>
        <v>gm. Skarbimierz</v>
      </c>
      <c r="D32" t="str">
        <f t="shared" si="2"/>
        <v>brzeski</v>
      </c>
      <c r="E32" t="str">
        <f t="shared" si="3"/>
        <v>opolskie</v>
      </c>
      <c r="F32">
        <v>9</v>
      </c>
      <c r="G32" t="str">
        <f>"Gminne Gimnazjum w Skarbimierzu Osiedle, ul.Akacjowa 27, Skarbimierz Osiedle"</f>
        <v>Gminne Gimnazjum w Skarbimierzu Osiedle, ul.Akacjowa 27, Skarbimierz Osiedle</v>
      </c>
      <c r="H32">
        <v>1316</v>
      </c>
      <c r="I32">
        <v>1200</v>
      </c>
      <c r="J32">
        <v>672</v>
      </c>
      <c r="K32">
        <v>0</v>
      </c>
      <c r="L32">
        <v>528</v>
      </c>
      <c r="M32">
        <v>672</v>
      </c>
      <c r="N32">
        <v>666</v>
      </c>
      <c r="O32">
        <v>6</v>
      </c>
      <c r="P32">
        <v>288</v>
      </c>
      <c r="Q32">
        <v>378</v>
      </c>
    </row>
    <row r="33" spans="1:17" ht="14.25">
      <c r="A33">
        <v>29</v>
      </c>
      <c r="B33" t="str">
        <f t="shared" si="4"/>
        <v>160102</v>
      </c>
      <c r="C33" t="str">
        <f t="shared" si="5"/>
        <v>gm. Skarbimierz</v>
      </c>
      <c r="D33" t="str">
        <f t="shared" si="2"/>
        <v>brzeski</v>
      </c>
      <c r="E33" t="str">
        <f t="shared" si="3"/>
        <v>opolskie</v>
      </c>
      <c r="F33">
        <v>10</v>
      </c>
      <c r="G33" t="str">
        <f>"Przedszkole, Małujowice 65, Małujowice"</f>
        <v>Przedszkole, Małujowice 65, Małujowice</v>
      </c>
      <c r="H33">
        <v>336</v>
      </c>
      <c r="I33">
        <v>322</v>
      </c>
      <c r="J33">
        <v>164</v>
      </c>
      <c r="K33">
        <v>0</v>
      </c>
      <c r="L33">
        <v>158</v>
      </c>
      <c r="M33">
        <v>164</v>
      </c>
      <c r="N33">
        <v>163</v>
      </c>
      <c r="O33">
        <v>1</v>
      </c>
      <c r="P33">
        <v>109</v>
      </c>
      <c r="Q33">
        <v>54</v>
      </c>
    </row>
    <row r="34" spans="1:17" ht="14.25">
      <c r="A34">
        <v>30</v>
      </c>
      <c r="B34" t="str">
        <f t="shared" si="4"/>
        <v>160102</v>
      </c>
      <c r="C34" t="str">
        <f t="shared" si="5"/>
        <v>gm. Skarbimierz</v>
      </c>
      <c r="D34" t="str">
        <f t="shared" si="2"/>
        <v>brzeski</v>
      </c>
      <c r="E34" t="str">
        <f t="shared" si="3"/>
        <v>opolskie</v>
      </c>
      <c r="F34">
        <v>11</v>
      </c>
      <c r="G34" t="str">
        <f>"Dom Ludowy, Bierzów 19, Bierzów"</f>
        <v>Dom Ludowy, Bierzów 19, Bierzów</v>
      </c>
      <c r="H34">
        <v>147</v>
      </c>
      <c r="I34">
        <v>138</v>
      </c>
      <c r="J34">
        <v>69</v>
      </c>
      <c r="K34">
        <v>0</v>
      </c>
      <c r="L34">
        <v>69</v>
      </c>
      <c r="M34">
        <v>69</v>
      </c>
      <c r="N34">
        <v>69</v>
      </c>
      <c r="O34">
        <v>0</v>
      </c>
      <c r="P34">
        <v>33</v>
      </c>
      <c r="Q34">
        <v>36</v>
      </c>
    </row>
    <row r="35" spans="1:17" ht="14.25">
      <c r="A35">
        <v>31</v>
      </c>
      <c r="B35" t="str">
        <f t="shared" si="4"/>
        <v>160102</v>
      </c>
      <c r="C35" t="str">
        <f t="shared" si="5"/>
        <v>gm. Skarbimierz</v>
      </c>
      <c r="D35" t="str">
        <f t="shared" si="2"/>
        <v>brzeski</v>
      </c>
      <c r="E35" t="str">
        <f t="shared" si="3"/>
        <v>opolskie</v>
      </c>
      <c r="F35">
        <v>12</v>
      </c>
      <c r="G35" t="str">
        <f>"Gminna Biblioteka Publiczna, Łukowice Brzeskie 88a, Łukowice Brzeskie"</f>
        <v>Gminna Biblioteka Publiczna, Łukowice Brzeskie 88a, Łukowice Brzeskie</v>
      </c>
      <c r="H35">
        <v>427</v>
      </c>
      <c r="I35">
        <v>412</v>
      </c>
      <c r="J35">
        <v>236</v>
      </c>
      <c r="K35">
        <v>0</v>
      </c>
      <c r="L35">
        <v>176</v>
      </c>
      <c r="M35">
        <v>236</v>
      </c>
      <c r="N35">
        <v>230</v>
      </c>
      <c r="O35">
        <v>6</v>
      </c>
      <c r="P35">
        <v>129</v>
      </c>
      <c r="Q35">
        <v>101</v>
      </c>
    </row>
    <row r="36" spans="1:17" ht="14.25">
      <c r="A36">
        <v>32</v>
      </c>
      <c r="B36" t="str">
        <f t="shared" si="4"/>
        <v>160102</v>
      </c>
      <c r="C36" t="str">
        <f t="shared" si="5"/>
        <v>gm. Skarbimierz</v>
      </c>
      <c r="D36" t="str">
        <f t="shared" si="2"/>
        <v>brzeski</v>
      </c>
      <c r="E36" t="str">
        <f t="shared" si="3"/>
        <v>opolskie</v>
      </c>
      <c r="F36">
        <v>13</v>
      </c>
      <c r="G36" t="str">
        <f>"Dom Ludowy, Pępice 63, Pępice"</f>
        <v>Dom Ludowy, Pępice 63, Pępice</v>
      </c>
      <c r="H36">
        <v>289</v>
      </c>
      <c r="I36">
        <v>271</v>
      </c>
      <c r="J36">
        <v>172</v>
      </c>
      <c r="K36">
        <v>0</v>
      </c>
      <c r="L36">
        <v>99</v>
      </c>
      <c r="M36">
        <v>172</v>
      </c>
      <c r="N36">
        <v>169</v>
      </c>
      <c r="O36">
        <v>3</v>
      </c>
      <c r="P36">
        <v>121</v>
      </c>
      <c r="Q36">
        <v>48</v>
      </c>
    </row>
    <row r="37" spans="1:17" ht="14.25">
      <c r="A37">
        <v>33</v>
      </c>
      <c r="B37" t="str">
        <f t="shared" si="4"/>
        <v>160102</v>
      </c>
      <c r="C37" t="str">
        <f t="shared" si="5"/>
        <v>gm. Skarbimierz</v>
      </c>
      <c r="D37" t="str">
        <f aca="true" t="shared" si="6" ref="D37:D68">"brzeski"</f>
        <v>brzeski</v>
      </c>
      <c r="E37" t="str">
        <f t="shared" si="3"/>
        <v>opolskie</v>
      </c>
      <c r="F37">
        <v>14</v>
      </c>
      <c r="G37" t="str">
        <f>"Przedszkole, Brzezina 64, Brzezina"</f>
        <v>Przedszkole, Brzezina 64, Brzezina</v>
      </c>
      <c r="H37">
        <v>437</v>
      </c>
      <c r="I37">
        <v>415</v>
      </c>
      <c r="J37">
        <v>235</v>
      </c>
      <c r="K37">
        <v>0</v>
      </c>
      <c r="L37">
        <v>180</v>
      </c>
      <c r="M37">
        <v>235</v>
      </c>
      <c r="N37">
        <v>232</v>
      </c>
      <c r="O37">
        <v>3</v>
      </c>
      <c r="P37">
        <v>126</v>
      </c>
      <c r="Q37">
        <v>106</v>
      </c>
    </row>
    <row r="38" spans="1:17" ht="14.25">
      <c r="A38">
        <v>34</v>
      </c>
      <c r="B38" t="str">
        <f t="shared" si="4"/>
        <v>160102</v>
      </c>
      <c r="C38" t="str">
        <f t="shared" si="5"/>
        <v>gm. Skarbimierz</v>
      </c>
      <c r="D38" t="str">
        <f t="shared" si="6"/>
        <v>brzeski</v>
      </c>
      <c r="E38" t="str">
        <f t="shared" si="3"/>
        <v>opolskie</v>
      </c>
      <c r="F38">
        <v>15</v>
      </c>
      <c r="G38" t="str">
        <f>"Dom Ludowy, Lipki 32, Lipki"</f>
        <v>Dom Ludowy, Lipki 32, Lipki</v>
      </c>
      <c r="H38">
        <v>530</v>
      </c>
      <c r="I38">
        <v>505</v>
      </c>
      <c r="J38">
        <v>246</v>
      </c>
      <c r="K38">
        <v>0</v>
      </c>
      <c r="L38">
        <v>259</v>
      </c>
      <c r="M38">
        <v>246</v>
      </c>
      <c r="N38">
        <v>246</v>
      </c>
      <c r="O38">
        <v>0</v>
      </c>
      <c r="P38">
        <v>116</v>
      </c>
      <c r="Q38">
        <v>130</v>
      </c>
    </row>
    <row r="39" spans="1:17" ht="14.25">
      <c r="A39">
        <v>35</v>
      </c>
      <c r="B39" t="str">
        <f aca="true" t="shared" si="7" ref="B39:B53">"160103"</f>
        <v>160103</v>
      </c>
      <c r="C39" t="str">
        <f aca="true" t="shared" si="8" ref="C39:C53">"gm. Grodków"</f>
        <v>gm. Grodków</v>
      </c>
      <c r="D39" t="str">
        <f t="shared" si="6"/>
        <v>brzeski</v>
      </c>
      <c r="E39" t="str">
        <f t="shared" si="3"/>
        <v>opolskie</v>
      </c>
      <c r="F39">
        <v>1</v>
      </c>
      <c r="G39" t="str">
        <f>"Gimnazjum Publiczne Nr 1, ul. Powstańców Śl.24, Grodków"</f>
        <v>Gimnazjum Publiczne Nr 1, ul. Powstańców Śl.24, Grodków</v>
      </c>
      <c r="H39">
        <v>1094</v>
      </c>
      <c r="I39">
        <v>1040</v>
      </c>
      <c r="J39">
        <v>544</v>
      </c>
      <c r="K39">
        <v>3</v>
      </c>
      <c r="L39">
        <v>496</v>
      </c>
      <c r="M39">
        <v>544</v>
      </c>
      <c r="N39">
        <v>542</v>
      </c>
      <c r="O39">
        <v>2</v>
      </c>
      <c r="P39">
        <v>194</v>
      </c>
      <c r="Q39">
        <v>348</v>
      </c>
    </row>
    <row r="40" spans="1:17" ht="14.25">
      <c r="A40">
        <v>36</v>
      </c>
      <c r="B40" t="str">
        <f t="shared" si="7"/>
        <v>160103</v>
      </c>
      <c r="C40" t="str">
        <f t="shared" si="8"/>
        <v>gm. Grodków</v>
      </c>
      <c r="D40" t="str">
        <f t="shared" si="6"/>
        <v>brzeski</v>
      </c>
      <c r="E40" t="str">
        <f t="shared" si="3"/>
        <v>opolskie</v>
      </c>
      <c r="F40">
        <v>2</v>
      </c>
      <c r="G40" t="str">
        <f>"Centrum Kształcenia Praktycznego Zespołu Szkół Rolniczych, ul.Krakowska 20, Grodków"</f>
        <v>Centrum Kształcenia Praktycznego Zespołu Szkół Rolniczych, ul.Krakowska 20, Grodków</v>
      </c>
      <c r="H40">
        <v>1474</v>
      </c>
      <c r="I40">
        <v>1439</v>
      </c>
      <c r="J40">
        <v>828</v>
      </c>
      <c r="K40">
        <v>1</v>
      </c>
      <c r="L40">
        <v>611</v>
      </c>
      <c r="M40">
        <v>828</v>
      </c>
      <c r="N40">
        <v>821</v>
      </c>
      <c r="O40">
        <v>7</v>
      </c>
      <c r="P40">
        <v>270</v>
      </c>
      <c r="Q40">
        <v>551</v>
      </c>
    </row>
    <row r="41" spans="1:17" ht="14.25">
      <c r="A41">
        <v>37</v>
      </c>
      <c r="B41" t="str">
        <f t="shared" si="7"/>
        <v>160103</v>
      </c>
      <c r="C41" t="str">
        <f t="shared" si="8"/>
        <v>gm. Grodków</v>
      </c>
      <c r="D41" t="str">
        <f t="shared" si="6"/>
        <v>brzeski</v>
      </c>
      <c r="E41" t="str">
        <f t="shared" si="3"/>
        <v>opolskie</v>
      </c>
      <c r="F41">
        <v>3</v>
      </c>
      <c r="G41" t="str">
        <f>"Gimnazjum Publiczne Nr 2, ul. A. Mickiewicza 13, Grodków"</f>
        <v>Gimnazjum Publiczne Nr 2, ul. A. Mickiewicza 13, Grodków</v>
      </c>
      <c r="H41">
        <v>1166</v>
      </c>
      <c r="I41">
        <v>1115</v>
      </c>
      <c r="J41">
        <v>579</v>
      </c>
      <c r="K41">
        <v>1</v>
      </c>
      <c r="L41">
        <v>536</v>
      </c>
      <c r="M41">
        <v>579</v>
      </c>
      <c r="N41">
        <v>575</v>
      </c>
      <c r="O41">
        <v>4</v>
      </c>
      <c r="P41">
        <v>239</v>
      </c>
      <c r="Q41">
        <v>336</v>
      </c>
    </row>
    <row r="42" spans="1:17" ht="14.25">
      <c r="A42">
        <v>38</v>
      </c>
      <c r="B42" t="str">
        <f t="shared" si="7"/>
        <v>160103</v>
      </c>
      <c r="C42" t="str">
        <f t="shared" si="8"/>
        <v>gm. Grodków</v>
      </c>
      <c r="D42" t="str">
        <f t="shared" si="6"/>
        <v>brzeski</v>
      </c>
      <c r="E42" t="str">
        <f t="shared" si="3"/>
        <v>opolskie</v>
      </c>
      <c r="F42">
        <v>4</v>
      </c>
      <c r="G42" t="str">
        <f>"Hala Sportowa przy Liceum Ogólnokształcącym, ul.H.Sienkiewicza 29A, Grodków"</f>
        <v>Hala Sportowa przy Liceum Ogólnokształcącym, ul.H.Sienkiewicza 29A, Grodków</v>
      </c>
      <c r="H42">
        <v>2000</v>
      </c>
      <c r="I42">
        <v>1840</v>
      </c>
      <c r="J42">
        <v>888</v>
      </c>
      <c r="K42">
        <v>0</v>
      </c>
      <c r="L42">
        <v>952</v>
      </c>
      <c r="M42">
        <v>888</v>
      </c>
      <c r="N42">
        <v>876</v>
      </c>
      <c r="O42">
        <v>12</v>
      </c>
      <c r="P42">
        <v>360</v>
      </c>
      <c r="Q42">
        <v>516</v>
      </c>
    </row>
    <row r="43" spans="1:17" ht="14.25">
      <c r="A43">
        <v>39</v>
      </c>
      <c r="B43" t="str">
        <f t="shared" si="7"/>
        <v>160103</v>
      </c>
      <c r="C43" t="str">
        <f t="shared" si="8"/>
        <v>gm. Grodków</v>
      </c>
      <c r="D43" t="str">
        <f t="shared" si="6"/>
        <v>brzeski</v>
      </c>
      <c r="E43" t="str">
        <f t="shared" si="3"/>
        <v>opolskie</v>
      </c>
      <c r="F43">
        <v>5</v>
      </c>
      <c r="G43" t="str">
        <f>"Publiczna Szkoła Podstawowa Nr 3, ul. G. Morcinka 2, Grodków"</f>
        <v>Publiczna Szkoła Podstawowa Nr 3, ul. G. Morcinka 2, Grodków</v>
      </c>
      <c r="H43">
        <v>2000</v>
      </c>
      <c r="I43">
        <v>1840</v>
      </c>
      <c r="J43">
        <v>1090</v>
      </c>
      <c r="K43">
        <v>0</v>
      </c>
      <c r="L43">
        <v>750</v>
      </c>
      <c r="M43">
        <v>1090</v>
      </c>
      <c r="N43">
        <v>1069</v>
      </c>
      <c r="O43">
        <v>21</v>
      </c>
      <c r="P43">
        <v>411</v>
      </c>
      <c r="Q43">
        <v>658</v>
      </c>
    </row>
    <row r="44" spans="1:17" ht="14.25">
      <c r="A44">
        <v>40</v>
      </c>
      <c r="B44" t="str">
        <f t="shared" si="7"/>
        <v>160103</v>
      </c>
      <c r="C44" t="str">
        <f t="shared" si="8"/>
        <v>gm. Grodków</v>
      </c>
      <c r="D44" t="str">
        <f t="shared" si="6"/>
        <v>brzeski</v>
      </c>
      <c r="E44" t="str">
        <f t="shared" si="3"/>
        <v>opolskie</v>
      </c>
      <c r="F44">
        <v>6</v>
      </c>
      <c r="G44" t="str">
        <f>"Świetlica Wiejska, Żelazna"</f>
        <v>Świetlica Wiejska, Żelazna</v>
      </c>
      <c r="H44">
        <v>669</v>
      </c>
      <c r="I44">
        <v>640</v>
      </c>
      <c r="J44">
        <v>328</v>
      </c>
      <c r="K44">
        <v>0</v>
      </c>
      <c r="L44">
        <v>312</v>
      </c>
      <c r="M44">
        <v>328</v>
      </c>
      <c r="N44">
        <v>316</v>
      </c>
      <c r="O44">
        <v>12</v>
      </c>
      <c r="P44">
        <v>161</v>
      </c>
      <c r="Q44">
        <v>155</v>
      </c>
    </row>
    <row r="45" spans="1:17" ht="14.25">
      <c r="A45">
        <v>41</v>
      </c>
      <c r="B45" t="str">
        <f t="shared" si="7"/>
        <v>160103</v>
      </c>
      <c r="C45" t="str">
        <f t="shared" si="8"/>
        <v>gm. Grodków</v>
      </c>
      <c r="D45" t="str">
        <f t="shared" si="6"/>
        <v>brzeski</v>
      </c>
      <c r="E45" t="str">
        <f t="shared" si="3"/>
        <v>opolskie</v>
      </c>
      <c r="F45">
        <v>7</v>
      </c>
      <c r="G45" t="str">
        <f>"Publiczna Szkoła Podstawowa, Lipowa 79, Lipowa"</f>
        <v>Publiczna Szkoła Podstawowa, Lipowa 79, Lipowa</v>
      </c>
      <c r="H45">
        <v>848</v>
      </c>
      <c r="I45">
        <v>801</v>
      </c>
      <c r="J45">
        <v>395</v>
      </c>
      <c r="K45">
        <v>0</v>
      </c>
      <c r="L45">
        <v>406</v>
      </c>
      <c r="M45">
        <v>395</v>
      </c>
      <c r="N45">
        <v>389</v>
      </c>
      <c r="O45">
        <v>6</v>
      </c>
      <c r="P45">
        <v>182</v>
      </c>
      <c r="Q45">
        <v>207</v>
      </c>
    </row>
    <row r="46" spans="1:17" ht="14.25">
      <c r="A46">
        <v>42</v>
      </c>
      <c r="B46" t="str">
        <f t="shared" si="7"/>
        <v>160103</v>
      </c>
      <c r="C46" t="str">
        <f t="shared" si="8"/>
        <v>gm. Grodków</v>
      </c>
      <c r="D46" t="str">
        <f t="shared" si="6"/>
        <v>brzeski</v>
      </c>
      <c r="E46" t="str">
        <f t="shared" si="3"/>
        <v>opolskie</v>
      </c>
      <c r="F46">
        <v>8</v>
      </c>
      <c r="G46" t="str">
        <f>"Publiczna Szkoła Podstawowa,Kopice 32B, Kopice"</f>
        <v>Publiczna Szkoła Podstawowa,Kopice 32B, Kopice</v>
      </c>
      <c r="H46">
        <v>1000</v>
      </c>
      <c r="I46">
        <v>955</v>
      </c>
      <c r="J46">
        <v>470</v>
      </c>
      <c r="K46">
        <v>0</v>
      </c>
      <c r="L46">
        <v>485</v>
      </c>
      <c r="M46">
        <v>470</v>
      </c>
      <c r="N46">
        <v>467</v>
      </c>
      <c r="O46">
        <v>3</v>
      </c>
      <c r="P46">
        <v>186</v>
      </c>
      <c r="Q46">
        <v>281</v>
      </c>
    </row>
    <row r="47" spans="1:17" ht="14.25">
      <c r="A47">
        <v>43</v>
      </c>
      <c r="B47" t="str">
        <f t="shared" si="7"/>
        <v>160103</v>
      </c>
      <c r="C47" t="str">
        <f t="shared" si="8"/>
        <v>gm. Grodków</v>
      </c>
      <c r="D47" t="str">
        <f t="shared" si="6"/>
        <v>brzeski</v>
      </c>
      <c r="E47" t="str">
        <f t="shared" si="3"/>
        <v>opolskie</v>
      </c>
      <c r="F47">
        <v>9</v>
      </c>
      <c r="G47" t="str">
        <f>"Publiczna Szkoła Podstawowa,Kolnica 105,Kolnica"</f>
        <v>Publiczna Szkoła Podstawowa,Kolnica 105,Kolnica</v>
      </c>
      <c r="H47">
        <v>1406</v>
      </c>
      <c r="I47">
        <v>1270</v>
      </c>
      <c r="J47">
        <v>600</v>
      </c>
      <c r="K47">
        <v>0</v>
      </c>
      <c r="L47">
        <v>670</v>
      </c>
      <c r="M47">
        <v>600</v>
      </c>
      <c r="N47">
        <v>596</v>
      </c>
      <c r="O47">
        <v>4</v>
      </c>
      <c r="P47">
        <v>316</v>
      </c>
      <c r="Q47">
        <v>280</v>
      </c>
    </row>
    <row r="48" spans="1:17" ht="14.25">
      <c r="A48">
        <v>44</v>
      </c>
      <c r="B48" t="str">
        <f t="shared" si="7"/>
        <v>160103</v>
      </c>
      <c r="C48" t="str">
        <f t="shared" si="8"/>
        <v>gm. Grodków</v>
      </c>
      <c r="D48" t="str">
        <f t="shared" si="6"/>
        <v>brzeski</v>
      </c>
      <c r="E48" t="str">
        <f t="shared" si="3"/>
        <v>opolskie</v>
      </c>
      <c r="F48">
        <v>10</v>
      </c>
      <c r="G48" t="str">
        <f>"Świetlica Wiejska, Wierzbnik 35, Wierzbnik"</f>
        <v>Świetlica Wiejska, Wierzbnik 35, Wierzbnik</v>
      </c>
      <c r="H48">
        <v>442</v>
      </c>
      <c r="I48">
        <v>473</v>
      </c>
      <c r="J48">
        <v>189</v>
      </c>
      <c r="K48">
        <v>0</v>
      </c>
      <c r="L48">
        <v>284</v>
      </c>
      <c r="M48">
        <v>189</v>
      </c>
      <c r="N48">
        <v>184</v>
      </c>
      <c r="O48">
        <v>5</v>
      </c>
      <c r="P48">
        <v>83</v>
      </c>
      <c r="Q48">
        <v>101</v>
      </c>
    </row>
    <row r="49" spans="1:17" ht="14.25">
      <c r="A49">
        <v>45</v>
      </c>
      <c r="B49" t="str">
        <f t="shared" si="7"/>
        <v>160103</v>
      </c>
      <c r="C49" t="str">
        <f t="shared" si="8"/>
        <v>gm. Grodków</v>
      </c>
      <c r="D49" t="str">
        <f t="shared" si="6"/>
        <v>brzeski</v>
      </c>
      <c r="E49" t="str">
        <f t="shared" si="3"/>
        <v>opolskie</v>
      </c>
      <c r="F49">
        <v>11</v>
      </c>
      <c r="G49" t="str">
        <f>"Publiczna Szkoła Podstawowa, Gnojna119, Gnojna"</f>
        <v>Publiczna Szkoła Podstawowa, Gnojna119, Gnojna</v>
      </c>
      <c r="H49">
        <v>880</v>
      </c>
      <c r="I49">
        <v>798</v>
      </c>
      <c r="J49">
        <v>379</v>
      </c>
      <c r="K49">
        <v>0</v>
      </c>
      <c r="L49">
        <v>419</v>
      </c>
      <c r="M49">
        <v>379</v>
      </c>
      <c r="N49">
        <v>376</v>
      </c>
      <c r="O49">
        <v>3</v>
      </c>
      <c r="P49">
        <v>181</v>
      </c>
      <c r="Q49">
        <v>195</v>
      </c>
    </row>
    <row r="50" spans="1:17" ht="14.25">
      <c r="A50">
        <v>46</v>
      </c>
      <c r="B50" t="str">
        <f t="shared" si="7"/>
        <v>160103</v>
      </c>
      <c r="C50" t="str">
        <f t="shared" si="8"/>
        <v>gm. Grodków</v>
      </c>
      <c r="D50" t="str">
        <f t="shared" si="6"/>
        <v>brzeski</v>
      </c>
      <c r="E50" t="str">
        <f t="shared" si="3"/>
        <v>opolskie</v>
      </c>
      <c r="F50">
        <v>12</v>
      </c>
      <c r="G50" t="str">
        <f>"Publiczny Zespół Szkół, Jędrzejów 63, Jędrzejów"</f>
        <v>Publiczny Zespół Szkół, Jędrzejów 63, Jędrzejów</v>
      </c>
      <c r="H50">
        <v>745</v>
      </c>
      <c r="I50">
        <v>720</v>
      </c>
      <c r="J50">
        <v>286</v>
      </c>
      <c r="K50">
        <v>0</v>
      </c>
      <c r="L50">
        <v>434</v>
      </c>
      <c r="M50">
        <v>286</v>
      </c>
      <c r="N50">
        <v>282</v>
      </c>
      <c r="O50">
        <v>4</v>
      </c>
      <c r="P50">
        <v>110</v>
      </c>
      <c r="Q50">
        <v>172</v>
      </c>
    </row>
    <row r="51" spans="1:17" ht="14.25">
      <c r="A51">
        <v>47</v>
      </c>
      <c r="B51" t="str">
        <f t="shared" si="7"/>
        <v>160103</v>
      </c>
      <c r="C51" t="str">
        <f t="shared" si="8"/>
        <v>gm. Grodków</v>
      </c>
      <c r="D51" t="str">
        <f t="shared" si="6"/>
        <v>brzeski</v>
      </c>
      <c r="E51" t="str">
        <f t="shared" si="3"/>
        <v>opolskie</v>
      </c>
      <c r="F51">
        <v>13</v>
      </c>
      <c r="G51" t="str">
        <f>"Budynek po byłej Szkole Podstawowej, Gałązczyce 78, Gałązczyce"</f>
        <v>Budynek po byłej Szkole Podstawowej, Gałązczyce 78, Gałązczyce</v>
      </c>
      <c r="H51">
        <v>823</v>
      </c>
      <c r="I51">
        <v>790</v>
      </c>
      <c r="J51">
        <v>281</v>
      </c>
      <c r="K51">
        <v>0</v>
      </c>
      <c r="L51">
        <v>509</v>
      </c>
      <c r="M51">
        <v>281</v>
      </c>
      <c r="N51">
        <v>277</v>
      </c>
      <c r="O51">
        <v>4</v>
      </c>
      <c r="P51">
        <v>176</v>
      </c>
      <c r="Q51">
        <v>101</v>
      </c>
    </row>
    <row r="52" spans="1:17" ht="14.25">
      <c r="A52">
        <v>48</v>
      </c>
      <c r="B52" t="str">
        <f t="shared" si="7"/>
        <v>160103</v>
      </c>
      <c r="C52" t="str">
        <f t="shared" si="8"/>
        <v>gm. Grodków</v>
      </c>
      <c r="D52" t="str">
        <f t="shared" si="6"/>
        <v>brzeski</v>
      </c>
      <c r="E52" t="str">
        <f t="shared" si="3"/>
        <v>opolskie</v>
      </c>
      <c r="F52">
        <v>14</v>
      </c>
      <c r="G52" t="str">
        <f>"Świetlica Wiejska, Kobiela 21, Kobiela"</f>
        <v>Świetlica Wiejska, Kobiela 21, Kobiela</v>
      </c>
      <c r="H52">
        <v>993</v>
      </c>
      <c r="I52">
        <v>960</v>
      </c>
      <c r="J52">
        <v>355</v>
      </c>
      <c r="K52">
        <v>0</v>
      </c>
      <c r="L52">
        <v>605</v>
      </c>
      <c r="M52">
        <v>355</v>
      </c>
      <c r="N52">
        <v>344</v>
      </c>
      <c r="O52">
        <v>11</v>
      </c>
      <c r="P52">
        <v>189</v>
      </c>
      <c r="Q52">
        <v>155</v>
      </c>
    </row>
    <row r="53" spans="1:17" ht="14.25">
      <c r="A53">
        <v>49</v>
      </c>
      <c r="B53" t="str">
        <f t="shared" si="7"/>
        <v>160103</v>
      </c>
      <c r="C53" t="str">
        <f t="shared" si="8"/>
        <v>gm. Grodków</v>
      </c>
      <c r="D53" t="str">
        <f t="shared" si="6"/>
        <v>brzeski</v>
      </c>
      <c r="E53" t="str">
        <f t="shared" si="3"/>
        <v>opolskie</v>
      </c>
      <c r="F53">
        <v>15</v>
      </c>
      <c r="G53" t="str">
        <f>"Zakład Karny, ul. H. Sienkiewicza 23, Grodków"</f>
        <v>Zakład Karny, ul. H. Sienkiewicza 23, Grodków</v>
      </c>
      <c r="H53">
        <v>105</v>
      </c>
      <c r="I53">
        <v>105</v>
      </c>
      <c r="J53">
        <v>74</v>
      </c>
      <c r="K53">
        <v>0</v>
      </c>
      <c r="L53">
        <v>31</v>
      </c>
      <c r="M53">
        <v>74</v>
      </c>
      <c r="N53">
        <v>74</v>
      </c>
      <c r="O53">
        <v>0</v>
      </c>
      <c r="P53">
        <v>8</v>
      </c>
      <c r="Q53">
        <v>66</v>
      </c>
    </row>
    <row r="54" spans="1:17" ht="14.25">
      <c r="A54">
        <v>50</v>
      </c>
      <c r="B54" t="str">
        <f aca="true" t="shared" si="9" ref="B54:B60">"160104"</f>
        <v>160104</v>
      </c>
      <c r="C54" t="str">
        <f aca="true" t="shared" si="10" ref="C54:C60">"gm. Lewin Brzeski"</f>
        <v>gm. Lewin Brzeski</v>
      </c>
      <c r="D54" t="str">
        <f t="shared" si="6"/>
        <v>brzeski</v>
      </c>
      <c r="E54" t="str">
        <f t="shared" si="3"/>
        <v>opolskie</v>
      </c>
      <c r="F54">
        <v>1</v>
      </c>
      <c r="G54" t="str">
        <f>"Świetlica Terapeutyczna, ul. Moniuszki 41 A, Lewin Brzeski"</f>
        <v>Świetlica Terapeutyczna, ul. Moniuszki 41 A, Lewin Brzeski</v>
      </c>
      <c r="H54">
        <v>1953</v>
      </c>
      <c r="I54">
        <v>1760</v>
      </c>
      <c r="J54">
        <v>986</v>
      </c>
      <c r="K54">
        <v>1</v>
      </c>
      <c r="L54">
        <v>774</v>
      </c>
      <c r="M54">
        <v>986</v>
      </c>
      <c r="N54">
        <v>976</v>
      </c>
      <c r="O54">
        <v>10</v>
      </c>
      <c r="P54">
        <v>407</v>
      </c>
      <c r="Q54">
        <v>569</v>
      </c>
    </row>
    <row r="55" spans="1:17" ht="14.25">
      <c r="A55">
        <v>51</v>
      </c>
      <c r="B55" t="str">
        <f t="shared" si="9"/>
        <v>160104</v>
      </c>
      <c r="C55" t="str">
        <f t="shared" si="10"/>
        <v>gm. Lewin Brzeski</v>
      </c>
      <c r="D55" t="str">
        <f t="shared" si="6"/>
        <v>brzeski</v>
      </c>
      <c r="E55" t="str">
        <f t="shared" si="3"/>
        <v>opolskie</v>
      </c>
      <c r="F55">
        <v>2</v>
      </c>
      <c r="G55" t="str">
        <f>"Sala Ślubów USC, ul. Rynek 26, Lewin Brzeski"</f>
        <v>Sala Ślubów USC, ul. Rynek 26, Lewin Brzeski</v>
      </c>
      <c r="H55">
        <v>1393</v>
      </c>
      <c r="I55">
        <v>1280</v>
      </c>
      <c r="J55">
        <v>755</v>
      </c>
      <c r="K55">
        <v>2</v>
      </c>
      <c r="L55">
        <v>525</v>
      </c>
      <c r="M55">
        <v>755</v>
      </c>
      <c r="N55">
        <v>746</v>
      </c>
      <c r="O55">
        <v>9</v>
      </c>
      <c r="P55">
        <v>326</v>
      </c>
      <c r="Q55">
        <v>420</v>
      </c>
    </row>
    <row r="56" spans="1:17" ht="14.25">
      <c r="A56">
        <v>52</v>
      </c>
      <c r="B56" t="str">
        <f t="shared" si="9"/>
        <v>160104</v>
      </c>
      <c r="C56" t="str">
        <f t="shared" si="10"/>
        <v>gm. Lewin Brzeski</v>
      </c>
      <c r="D56" t="str">
        <f t="shared" si="6"/>
        <v>brzeski</v>
      </c>
      <c r="E56" t="str">
        <f t="shared" si="3"/>
        <v>opolskie</v>
      </c>
      <c r="F56">
        <v>3</v>
      </c>
      <c r="G56" t="str">
        <f>"Sala gimnastyczna Publicznej Szkoły Podstawowej, ul. Mickiewicza 6, Lewin Brzeski"</f>
        <v>Sala gimnastyczna Publicznej Szkoły Podstawowej, ul. Mickiewicza 6, Lewin Brzeski</v>
      </c>
      <c r="H56">
        <v>1339</v>
      </c>
      <c r="I56">
        <v>1275</v>
      </c>
      <c r="J56">
        <v>691</v>
      </c>
      <c r="K56">
        <v>1</v>
      </c>
      <c r="L56">
        <v>584</v>
      </c>
      <c r="M56">
        <v>691</v>
      </c>
      <c r="N56">
        <v>686</v>
      </c>
      <c r="O56">
        <v>5</v>
      </c>
      <c r="P56">
        <v>277</v>
      </c>
      <c r="Q56">
        <v>409</v>
      </c>
    </row>
    <row r="57" spans="1:17" ht="14.25">
      <c r="A57">
        <v>53</v>
      </c>
      <c r="B57" t="str">
        <f t="shared" si="9"/>
        <v>160104</v>
      </c>
      <c r="C57" t="str">
        <f t="shared" si="10"/>
        <v>gm. Lewin Brzeski</v>
      </c>
      <c r="D57" t="str">
        <f t="shared" si="6"/>
        <v>brzeski</v>
      </c>
      <c r="E57" t="str">
        <f t="shared" si="3"/>
        <v>opolskie</v>
      </c>
      <c r="F57">
        <v>4</v>
      </c>
      <c r="G57" t="str">
        <f>"Świetlica Ochotniczej Straży Pożarnej, ul. Główna 30, Łosiów"</f>
        <v>Świetlica Ochotniczej Straży Pożarnej, ul. Główna 30, Łosiów</v>
      </c>
      <c r="H57">
        <v>2108</v>
      </c>
      <c r="I57">
        <v>1919</v>
      </c>
      <c r="J57">
        <v>985</v>
      </c>
      <c r="K57">
        <v>1</v>
      </c>
      <c r="L57">
        <v>934</v>
      </c>
      <c r="M57">
        <v>985</v>
      </c>
      <c r="N57">
        <v>971</v>
      </c>
      <c r="O57">
        <v>14</v>
      </c>
      <c r="P57">
        <v>487</v>
      </c>
      <c r="Q57">
        <v>484</v>
      </c>
    </row>
    <row r="58" spans="1:17" ht="14.25">
      <c r="A58">
        <v>54</v>
      </c>
      <c r="B58" t="str">
        <f t="shared" si="9"/>
        <v>160104</v>
      </c>
      <c r="C58" t="str">
        <f t="shared" si="10"/>
        <v>gm. Lewin Brzeski</v>
      </c>
      <c r="D58" t="str">
        <f t="shared" si="6"/>
        <v>brzeski</v>
      </c>
      <c r="E58" t="str">
        <f t="shared" si="3"/>
        <v>opolskie</v>
      </c>
      <c r="F58">
        <v>5</v>
      </c>
      <c r="G58" t="str">
        <f>"Gimnazjum, ul. Okrzei 12, Skorogoszcz"</f>
        <v>Gimnazjum, ul. Okrzei 12, Skorogoszcz</v>
      </c>
      <c r="H58">
        <v>2090</v>
      </c>
      <c r="I58">
        <v>1920</v>
      </c>
      <c r="J58">
        <v>904</v>
      </c>
      <c r="K58">
        <v>0</v>
      </c>
      <c r="L58">
        <v>1016</v>
      </c>
      <c r="M58">
        <v>904</v>
      </c>
      <c r="N58">
        <v>892</v>
      </c>
      <c r="O58">
        <v>12</v>
      </c>
      <c r="P58">
        <v>368</v>
      </c>
      <c r="Q58">
        <v>524</v>
      </c>
    </row>
    <row r="59" spans="1:17" ht="14.25">
      <c r="A59">
        <v>55</v>
      </c>
      <c r="B59" t="str">
        <f t="shared" si="9"/>
        <v>160104</v>
      </c>
      <c r="C59" t="str">
        <f t="shared" si="10"/>
        <v>gm. Lewin Brzeski</v>
      </c>
      <c r="D59" t="str">
        <f t="shared" si="6"/>
        <v>brzeski</v>
      </c>
      <c r="E59" t="str">
        <f t="shared" si="3"/>
        <v>opolskie</v>
      </c>
      <c r="F59">
        <v>6</v>
      </c>
      <c r="G59" t="str">
        <f>"Świetlica Wiejska, Przecza 50, Przecza"</f>
        <v>Świetlica Wiejska, Przecza 50, Przecza</v>
      </c>
      <c r="H59">
        <v>726</v>
      </c>
      <c r="I59">
        <v>720</v>
      </c>
      <c r="J59">
        <v>316</v>
      </c>
      <c r="K59">
        <v>0</v>
      </c>
      <c r="L59">
        <v>404</v>
      </c>
      <c r="M59">
        <v>316</v>
      </c>
      <c r="N59">
        <v>311</v>
      </c>
      <c r="O59">
        <v>5</v>
      </c>
      <c r="P59">
        <v>94</v>
      </c>
      <c r="Q59">
        <v>217</v>
      </c>
    </row>
    <row r="60" spans="1:17" ht="14.25">
      <c r="A60">
        <v>56</v>
      </c>
      <c r="B60" t="str">
        <f t="shared" si="9"/>
        <v>160104</v>
      </c>
      <c r="C60" t="str">
        <f t="shared" si="10"/>
        <v>gm. Lewin Brzeski</v>
      </c>
      <c r="D60" t="str">
        <f t="shared" si="6"/>
        <v>brzeski</v>
      </c>
      <c r="E60" t="str">
        <f t="shared" si="3"/>
        <v>opolskie</v>
      </c>
      <c r="F60">
        <v>7</v>
      </c>
      <c r="G60" t="str">
        <f>"Gimnazjum, ul. Zamkowa 3, Lewin Brzeski"</f>
        <v>Gimnazjum, ul. Zamkowa 3, Lewin Brzeski</v>
      </c>
      <c r="H60">
        <v>973</v>
      </c>
      <c r="I60">
        <v>880</v>
      </c>
      <c r="J60">
        <v>408</v>
      </c>
      <c r="K60">
        <v>0</v>
      </c>
      <c r="L60">
        <v>472</v>
      </c>
      <c r="M60">
        <v>408</v>
      </c>
      <c r="N60">
        <v>403</v>
      </c>
      <c r="O60">
        <v>5</v>
      </c>
      <c r="P60">
        <v>236</v>
      </c>
      <c r="Q60">
        <v>167</v>
      </c>
    </row>
    <row r="61" spans="1:17" ht="14.25">
      <c r="A61">
        <v>57</v>
      </c>
      <c r="B61" t="str">
        <f aca="true" t="shared" si="11" ref="B61:B71">"160105"</f>
        <v>160105</v>
      </c>
      <c r="C61" t="str">
        <f aca="true" t="shared" si="12" ref="C61:C71">"gm. Lubsza"</f>
        <v>gm. Lubsza</v>
      </c>
      <c r="D61" t="str">
        <f t="shared" si="6"/>
        <v>brzeski</v>
      </c>
      <c r="E61" t="str">
        <f t="shared" si="3"/>
        <v>opolskie</v>
      </c>
      <c r="F61">
        <v>1</v>
      </c>
      <c r="G61" t="str">
        <f>"Publiczna Szkoła Podstawowa, ul. Szkolna 2, Lubsza"</f>
        <v>Publiczna Szkoła Podstawowa, ul. Szkolna 2, Lubsza</v>
      </c>
      <c r="H61">
        <v>1157</v>
      </c>
      <c r="I61">
        <v>1038</v>
      </c>
      <c r="J61">
        <v>583</v>
      </c>
      <c r="K61">
        <v>0</v>
      </c>
      <c r="L61">
        <v>455</v>
      </c>
      <c r="M61">
        <v>583</v>
      </c>
      <c r="N61">
        <v>576</v>
      </c>
      <c r="O61">
        <v>7</v>
      </c>
      <c r="P61">
        <v>262</v>
      </c>
      <c r="Q61">
        <v>314</v>
      </c>
    </row>
    <row r="62" spans="1:17" ht="14.25">
      <c r="A62">
        <v>58</v>
      </c>
      <c r="B62" t="str">
        <f t="shared" si="11"/>
        <v>160105</v>
      </c>
      <c r="C62" t="str">
        <f t="shared" si="12"/>
        <v>gm. Lubsza</v>
      </c>
      <c r="D62" t="str">
        <f t="shared" si="6"/>
        <v>brzeski</v>
      </c>
      <c r="E62" t="str">
        <f t="shared" si="3"/>
        <v>opolskie</v>
      </c>
      <c r="F62">
        <v>2</v>
      </c>
      <c r="G62" t="str">
        <f>"Publiczna Szkoła Podstawowa, Czepielowice 31, Czepielowice"</f>
        <v>Publiczna Szkoła Podstawowa, Czepielowice 31, Czepielowice</v>
      </c>
      <c r="H62">
        <v>962</v>
      </c>
      <c r="I62">
        <v>879</v>
      </c>
      <c r="J62">
        <v>446</v>
      </c>
      <c r="K62">
        <v>0</v>
      </c>
      <c r="L62">
        <v>433</v>
      </c>
      <c r="M62">
        <v>446</v>
      </c>
      <c r="N62">
        <v>438</v>
      </c>
      <c r="O62">
        <v>8</v>
      </c>
      <c r="P62">
        <v>206</v>
      </c>
      <c r="Q62">
        <v>232</v>
      </c>
    </row>
    <row r="63" spans="1:17" ht="14.25">
      <c r="A63">
        <v>59</v>
      </c>
      <c r="B63" t="str">
        <f t="shared" si="11"/>
        <v>160105</v>
      </c>
      <c r="C63" t="str">
        <f t="shared" si="12"/>
        <v>gm. Lubsza</v>
      </c>
      <c r="D63" t="str">
        <f t="shared" si="6"/>
        <v>brzeski</v>
      </c>
      <c r="E63" t="str">
        <f t="shared" si="3"/>
        <v>opolskie</v>
      </c>
      <c r="F63">
        <v>3</v>
      </c>
      <c r="G63" t="str">
        <f>"Publiczne Gimnazjum, Kościerzyce 31. Kościerzyce"</f>
        <v>Publiczne Gimnazjum, Kościerzyce 31. Kościerzyce</v>
      </c>
      <c r="H63">
        <v>839</v>
      </c>
      <c r="I63">
        <v>800</v>
      </c>
      <c r="J63">
        <v>397</v>
      </c>
      <c r="K63">
        <v>0</v>
      </c>
      <c r="L63">
        <v>403</v>
      </c>
      <c r="M63">
        <v>397</v>
      </c>
      <c r="N63">
        <v>394</v>
      </c>
      <c r="O63">
        <v>3</v>
      </c>
      <c r="P63">
        <v>188</v>
      </c>
      <c r="Q63">
        <v>206</v>
      </c>
    </row>
    <row r="64" spans="1:17" ht="14.25">
      <c r="A64">
        <v>60</v>
      </c>
      <c r="B64" t="str">
        <f t="shared" si="11"/>
        <v>160105</v>
      </c>
      <c r="C64" t="str">
        <f t="shared" si="12"/>
        <v>gm. Lubsza</v>
      </c>
      <c r="D64" t="str">
        <f t="shared" si="6"/>
        <v>brzeski</v>
      </c>
      <c r="E64" t="str">
        <f t="shared" si="3"/>
        <v>opolskie</v>
      </c>
      <c r="F64">
        <v>4</v>
      </c>
      <c r="G64" t="str">
        <f>"Dom Ludowy, ul. Brzeska 21, Pisarzowice"</f>
        <v>Dom Ludowy, ul. Brzeska 21, Pisarzowice</v>
      </c>
      <c r="H64">
        <v>511</v>
      </c>
      <c r="I64">
        <v>477</v>
      </c>
      <c r="J64">
        <v>315</v>
      </c>
      <c r="K64">
        <v>1</v>
      </c>
      <c r="L64">
        <v>162</v>
      </c>
      <c r="M64">
        <v>315</v>
      </c>
      <c r="N64">
        <v>311</v>
      </c>
      <c r="O64">
        <v>4</v>
      </c>
      <c r="P64">
        <v>154</v>
      </c>
      <c r="Q64">
        <v>157</v>
      </c>
    </row>
    <row r="65" spans="1:17" ht="14.25">
      <c r="A65">
        <v>61</v>
      </c>
      <c r="B65" t="str">
        <f t="shared" si="11"/>
        <v>160105</v>
      </c>
      <c r="C65" t="str">
        <f t="shared" si="12"/>
        <v>gm. Lubsza</v>
      </c>
      <c r="D65" t="str">
        <f t="shared" si="6"/>
        <v>brzeski</v>
      </c>
      <c r="E65" t="str">
        <f t="shared" si="3"/>
        <v>opolskie</v>
      </c>
      <c r="F65">
        <v>5</v>
      </c>
      <c r="G65" t="str">
        <f>"Publiczna Szkoła Podstawowa SPSK, Michałowice 18, Michałowice"</f>
        <v>Publiczna Szkoła Podstawowa SPSK, Michałowice 18, Michałowice</v>
      </c>
      <c r="H65">
        <v>690</v>
      </c>
      <c r="I65">
        <v>725</v>
      </c>
      <c r="J65">
        <v>337</v>
      </c>
      <c r="K65">
        <v>0</v>
      </c>
      <c r="L65">
        <v>388</v>
      </c>
      <c r="M65">
        <v>337</v>
      </c>
      <c r="N65">
        <v>337</v>
      </c>
      <c r="O65">
        <v>0</v>
      </c>
      <c r="P65">
        <v>166</v>
      </c>
      <c r="Q65">
        <v>171</v>
      </c>
    </row>
    <row r="66" spans="1:17" ht="14.25">
      <c r="A66">
        <v>62</v>
      </c>
      <c r="B66" t="str">
        <f t="shared" si="11"/>
        <v>160105</v>
      </c>
      <c r="C66" t="str">
        <f t="shared" si="12"/>
        <v>gm. Lubsza</v>
      </c>
      <c r="D66" t="str">
        <f t="shared" si="6"/>
        <v>brzeski</v>
      </c>
      <c r="E66" t="str">
        <f t="shared" si="3"/>
        <v>opolskie</v>
      </c>
      <c r="F66">
        <v>6</v>
      </c>
      <c r="G66" t="str">
        <f>"Publiczna Szkoła Podstawowa, ul. Pocztowa 4, Mąkoszyce"</f>
        <v>Publiczna Szkoła Podstawowa, ul. Pocztowa 4, Mąkoszyce</v>
      </c>
      <c r="H66">
        <v>785</v>
      </c>
      <c r="I66">
        <v>720</v>
      </c>
      <c r="J66">
        <v>409</v>
      </c>
      <c r="K66">
        <v>0</v>
      </c>
      <c r="L66">
        <v>311</v>
      </c>
      <c r="M66">
        <v>409</v>
      </c>
      <c r="N66">
        <v>403</v>
      </c>
      <c r="O66">
        <v>6</v>
      </c>
      <c r="P66">
        <v>179</v>
      </c>
      <c r="Q66">
        <v>224</v>
      </c>
    </row>
    <row r="67" spans="1:17" ht="14.25">
      <c r="A67">
        <v>63</v>
      </c>
      <c r="B67" t="str">
        <f t="shared" si="11"/>
        <v>160105</v>
      </c>
      <c r="C67" t="str">
        <f t="shared" si="12"/>
        <v>gm. Lubsza</v>
      </c>
      <c r="D67" t="str">
        <f t="shared" si="6"/>
        <v>brzeski</v>
      </c>
      <c r="E67" t="str">
        <f t="shared" si="3"/>
        <v>opolskie</v>
      </c>
      <c r="F67">
        <v>7</v>
      </c>
      <c r="G67" t="str">
        <f>"Budynek po Publicznej Szkole Podstawowej, Szydłowice 121, Szydłowice"</f>
        <v>Budynek po Publicznej Szkole Podstawowej, Szydłowice 121, Szydłowice</v>
      </c>
      <c r="H67">
        <v>502</v>
      </c>
      <c r="I67">
        <v>475</v>
      </c>
      <c r="J67">
        <v>241</v>
      </c>
      <c r="K67">
        <v>0</v>
      </c>
      <c r="L67">
        <v>234</v>
      </c>
      <c r="M67">
        <v>241</v>
      </c>
      <c r="N67">
        <v>236</v>
      </c>
      <c r="O67">
        <v>5</v>
      </c>
      <c r="P67">
        <v>161</v>
      </c>
      <c r="Q67">
        <v>75</v>
      </c>
    </row>
    <row r="68" spans="1:17" ht="14.25">
      <c r="A68">
        <v>64</v>
      </c>
      <c r="B68" t="str">
        <f t="shared" si="11"/>
        <v>160105</v>
      </c>
      <c r="C68" t="str">
        <f t="shared" si="12"/>
        <v>gm. Lubsza</v>
      </c>
      <c r="D68" t="str">
        <f t="shared" si="6"/>
        <v>brzeski</v>
      </c>
      <c r="E68" t="str">
        <f t="shared" si="3"/>
        <v>opolskie</v>
      </c>
      <c r="F68">
        <v>8</v>
      </c>
      <c r="G68" t="str">
        <f>"Świetlica Wiejska, Błota 85, Błota"</f>
        <v>Świetlica Wiejska, Błota 85, Błota</v>
      </c>
      <c r="H68">
        <v>323</v>
      </c>
      <c r="I68">
        <v>319</v>
      </c>
      <c r="J68">
        <v>156</v>
      </c>
      <c r="K68">
        <v>0</v>
      </c>
      <c r="L68">
        <v>163</v>
      </c>
      <c r="M68">
        <v>156</v>
      </c>
      <c r="N68">
        <v>155</v>
      </c>
      <c r="O68">
        <v>1</v>
      </c>
      <c r="P68">
        <v>82</v>
      </c>
      <c r="Q68">
        <v>73</v>
      </c>
    </row>
    <row r="69" spans="1:17" ht="14.25">
      <c r="A69">
        <v>65</v>
      </c>
      <c r="B69" t="str">
        <f t="shared" si="11"/>
        <v>160105</v>
      </c>
      <c r="C69" t="str">
        <f t="shared" si="12"/>
        <v>gm. Lubsza</v>
      </c>
      <c r="D69" t="str">
        <f aca="true" t="shared" si="13" ref="D69:D75">"brzeski"</f>
        <v>brzeski</v>
      </c>
      <c r="E69" t="str">
        <f aca="true" t="shared" si="14" ref="E69:E132">"opolskie"</f>
        <v>opolskie</v>
      </c>
      <c r="F69">
        <v>9</v>
      </c>
      <c r="G69" t="str">
        <f>"Publiczna Szkoła Podstawowa, Dobrzyń 35, Dobrzyń"</f>
        <v>Publiczna Szkoła Podstawowa, Dobrzyń 35, Dobrzyń</v>
      </c>
      <c r="H69">
        <v>472</v>
      </c>
      <c r="I69">
        <v>479</v>
      </c>
      <c r="J69">
        <v>267</v>
      </c>
      <c r="K69">
        <v>0</v>
      </c>
      <c r="L69">
        <v>212</v>
      </c>
      <c r="M69">
        <v>267</v>
      </c>
      <c r="N69">
        <v>267</v>
      </c>
      <c r="O69">
        <v>0</v>
      </c>
      <c r="P69">
        <v>163</v>
      </c>
      <c r="Q69">
        <v>104</v>
      </c>
    </row>
    <row r="70" spans="1:17" ht="14.25">
      <c r="A70">
        <v>66</v>
      </c>
      <c r="B70" t="str">
        <f t="shared" si="11"/>
        <v>160105</v>
      </c>
      <c r="C70" t="str">
        <f t="shared" si="12"/>
        <v>gm. Lubsza</v>
      </c>
      <c r="D70" t="str">
        <f t="shared" si="13"/>
        <v>brzeski</v>
      </c>
      <c r="E70" t="str">
        <f t="shared" si="14"/>
        <v>opolskie</v>
      </c>
      <c r="F70">
        <v>10</v>
      </c>
      <c r="G70" t="str">
        <f>"Świetlica Wiejska, Rogalice 48a, Rogalice"</f>
        <v>Świetlica Wiejska, Rogalice 48a, Rogalice</v>
      </c>
      <c r="H70">
        <v>510</v>
      </c>
      <c r="I70">
        <v>584</v>
      </c>
      <c r="J70">
        <v>236</v>
      </c>
      <c r="K70">
        <v>0</v>
      </c>
      <c r="L70">
        <v>348</v>
      </c>
      <c r="M70">
        <v>236</v>
      </c>
      <c r="N70">
        <v>234</v>
      </c>
      <c r="O70">
        <v>2</v>
      </c>
      <c r="P70">
        <v>121</v>
      </c>
      <c r="Q70">
        <v>113</v>
      </c>
    </row>
    <row r="71" spans="1:17" ht="14.25">
      <c r="A71">
        <v>67</v>
      </c>
      <c r="B71" t="str">
        <f t="shared" si="11"/>
        <v>160105</v>
      </c>
      <c r="C71" t="str">
        <f t="shared" si="12"/>
        <v>gm. Lubsza</v>
      </c>
      <c r="D71" t="str">
        <f t="shared" si="13"/>
        <v>brzeski</v>
      </c>
      <c r="E71" t="str">
        <f t="shared" si="14"/>
        <v>opolskie</v>
      </c>
      <c r="F71">
        <v>11</v>
      </c>
      <c r="G71" t="str">
        <f>"Świetlica Wiejska, Tarnowiec 37, Tarnowiec"</f>
        <v>Świetlica Wiejska, Tarnowiec 37, Tarnowiec</v>
      </c>
      <c r="H71">
        <v>474</v>
      </c>
      <c r="I71">
        <v>480</v>
      </c>
      <c r="J71">
        <v>198</v>
      </c>
      <c r="K71">
        <v>0</v>
      </c>
      <c r="L71">
        <v>282</v>
      </c>
      <c r="M71">
        <v>198</v>
      </c>
      <c r="N71">
        <v>184</v>
      </c>
      <c r="O71">
        <v>14</v>
      </c>
      <c r="P71">
        <v>112</v>
      </c>
      <c r="Q71">
        <v>72</v>
      </c>
    </row>
    <row r="72" spans="1:17" ht="14.25">
      <c r="A72">
        <v>68</v>
      </c>
      <c r="B72" t="str">
        <f>"160106"</f>
        <v>160106</v>
      </c>
      <c r="C72" t="str">
        <f>"gm. Olszanka"</f>
        <v>gm. Olszanka</v>
      </c>
      <c r="D72" t="str">
        <f t="shared" si="13"/>
        <v>brzeski</v>
      </c>
      <c r="E72" t="str">
        <f t="shared" si="14"/>
        <v>opolskie</v>
      </c>
      <c r="F72">
        <v>1</v>
      </c>
      <c r="G72" t="str">
        <f>"Swietlica wiejska, Pogorzela 35a, Pogorzela"</f>
        <v>Swietlica wiejska, Pogorzela 35a, Pogorzela</v>
      </c>
      <c r="H72">
        <v>1334</v>
      </c>
      <c r="I72">
        <v>1278</v>
      </c>
      <c r="J72">
        <v>736</v>
      </c>
      <c r="K72">
        <v>0</v>
      </c>
      <c r="L72">
        <v>542</v>
      </c>
      <c r="M72">
        <v>736</v>
      </c>
      <c r="N72">
        <v>728</v>
      </c>
      <c r="O72">
        <v>8</v>
      </c>
      <c r="P72">
        <v>405</v>
      </c>
      <c r="Q72">
        <v>323</v>
      </c>
    </row>
    <row r="73" spans="1:17" ht="14.25">
      <c r="A73">
        <v>69</v>
      </c>
      <c r="B73" t="str">
        <f>"160106"</f>
        <v>160106</v>
      </c>
      <c r="C73" t="str">
        <f>"gm. Olszanka"</f>
        <v>gm. Olszanka</v>
      </c>
      <c r="D73" t="str">
        <f t="shared" si="13"/>
        <v>brzeski</v>
      </c>
      <c r="E73" t="str">
        <f t="shared" si="14"/>
        <v>opolskie</v>
      </c>
      <c r="F73">
        <v>2</v>
      </c>
      <c r="G73" t="str">
        <f>"Świetlica wiejska, Czeska Wieś 61, Czeska Wieś"</f>
        <v>Świetlica wiejska, Czeska Wieś 61, Czeska Wieś</v>
      </c>
      <c r="H73">
        <v>1298</v>
      </c>
      <c r="I73">
        <v>1200</v>
      </c>
      <c r="J73">
        <v>597</v>
      </c>
      <c r="K73">
        <v>0</v>
      </c>
      <c r="L73">
        <v>603</v>
      </c>
      <c r="M73">
        <v>597</v>
      </c>
      <c r="N73">
        <v>587</v>
      </c>
      <c r="O73">
        <v>10</v>
      </c>
      <c r="P73">
        <v>303</v>
      </c>
      <c r="Q73">
        <v>284</v>
      </c>
    </row>
    <row r="74" spans="1:17" ht="14.25">
      <c r="A74">
        <v>70</v>
      </c>
      <c r="B74" t="str">
        <f>"160106"</f>
        <v>160106</v>
      </c>
      <c r="C74" t="str">
        <f>"gm. Olszanka"</f>
        <v>gm. Olszanka</v>
      </c>
      <c r="D74" t="str">
        <f t="shared" si="13"/>
        <v>brzeski</v>
      </c>
      <c r="E74" t="str">
        <f t="shared" si="14"/>
        <v>opolskie</v>
      </c>
      <c r="F74">
        <v>3</v>
      </c>
      <c r="G74" t="str">
        <f>"Świetlica wiejska, Przylesie 122, Przylesie"</f>
        <v>Świetlica wiejska, Przylesie 122, Przylesie</v>
      </c>
      <c r="H74">
        <v>873</v>
      </c>
      <c r="I74">
        <v>800</v>
      </c>
      <c r="J74">
        <v>439</v>
      </c>
      <c r="K74">
        <v>0</v>
      </c>
      <c r="L74">
        <v>361</v>
      </c>
      <c r="M74">
        <v>439</v>
      </c>
      <c r="N74">
        <v>434</v>
      </c>
      <c r="O74">
        <v>5</v>
      </c>
      <c r="P74">
        <v>233</v>
      </c>
      <c r="Q74">
        <v>201</v>
      </c>
    </row>
    <row r="75" spans="1:17" ht="14.25">
      <c r="A75">
        <v>71</v>
      </c>
      <c r="B75" t="str">
        <f>"160106"</f>
        <v>160106</v>
      </c>
      <c r="C75" t="str">
        <f>"gm. Olszanka"</f>
        <v>gm. Olszanka</v>
      </c>
      <c r="D75" t="str">
        <f t="shared" si="13"/>
        <v>brzeski</v>
      </c>
      <c r="E75" t="str">
        <f t="shared" si="14"/>
        <v>opolskie</v>
      </c>
      <c r="F75">
        <v>4</v>
      </c>
      <c r="G75" t="str">
        <f>"Budynek byłej szkoły, Krzyżowice 72, Krzyżowice"</f>
        <v>Budynek byłej szkoły, Krzyżowice 72, Krzyżowice</v>
      </c>
      <c r="H75">
        <v>459</v>
      </c>
      <c r="I75">
        <v>479</v>
      </c>
      <c r="J75">
        <v>219</v>
      </c>
      <c r="K75">
        <v>0</v>
      </c>
      <c r="L75">
        <v>260</v>
      </c>
      <c r="M75">
        <v>219</v>
      </c>
      <c r="N75">
        <v>217</v>
      </c>
      <c r="O75">
        <v>2</v>
      </c>
      <c r="P75">
        <v>125</v>
      </c>
      <c r="Q75">
        <v>92</v>
      </c>
    </row>
    <row r="76" spans="1:17" ht="14.25">
      <c r="A76">
        <v>72</v>
      </c>
      <c r="B76" t="str">
        <f>"160201"</f>
        <v>160201</v>
      </c>
      <c r="C76" t="str">
        <f>"gm. Baborów"</f>
        <v>gm. Baborów</v>
      </c>
      <c r="D76" t="str">
        <f aca="true" t="shared" si="15" ref="D76:D121">"głubczycki"</f>
        <v>głubczycki</v>
      </c>
      <c r="E76" t="str">
        <f t="shared" si="14"/>
        <v>opolskie</v>
      </c>
      <c r="F76">
        <v>1</v>
      </c>
      <c r="G76" t="str">
        <f>"Gminny Zespół Oświaty, Kultury i Sportu, ul. Rynek 17, Baborów"</f>
        <v>Gminny Zespół Oświaty, Kultury i Sportu, ul. Rynek 17, Baborów</v>
      </c>
      <c r="H76">
        <v>1029</v>
      </c>
      <c r="I76">
        <v>960</v>
      </c>
      <c r="J76">
        <v>494</v>
      </c>
      <c r="K76">
        <v>0</v>
      </c>
      <c r="L76">
        <v>466</v>
      </c>
      <c r="M76">
        <v>494</v>
      </c>
      <c r="N76">
        <v>487</v>
      </c>
      <c r="O76">
        <v>7</v>
      </c>
      <c r="P76">
        <v>209</v>
      </c>
      <c r="Q76">
        <v>278</v>
      </c>
    </row>
    <row r="77" spans="1:17" ht="14.25">
      <c r="A77">
        <v>73</v>
      </c>
      <c r="B77" t="str">
        <f>"160201"</f>
        <v>160201</v>
      </c>
      <c r="C77" t="str">
        <f>"gm. Baborów"</f>
        <v>gm. Baborów</v>
      </c>
      <c r="D77" t="str">
        <f t="shared" si="15"/>
        <v>głubczycki</v>
      </c>
      <c r="E77" t="str">
        <f t="shared" si="14"/>
        <v>opolskie</v>
      </c>
      <c r="F77">
        <v>2</v>
      </c>
      <c r="G77" t="str">
        <f>"Urząd Miejski, ul. Dąbrowszczaków 2a, Baborów"</f>
        <v>Urząd Miejski, ul. Dąbrowszczaków 2a, Baborów</v>
      </c>
      <c r="H77">
        <v>1532</v>
      </c>
      <c r="I77">
        <v>1440</v>
      </c>
      <c r="J77">
        <v>687</v>
      </c>
      <c r="K77">
        <v>0</v>
      </c>
      <c r="L77">
        <v>753</v>
      </c>
      <c r="M77">
        <v>687</v>
      </c>
      <c r="N77">
        <v>675</v>
      </c>
      <c r="O77">
        <v>12</v>
      </c>
      <c r="P77">
        <v>299</v>
      </c>
      <c r="Q77">
        <v>376</v>
      </c>
    </row>
    <row r="78" spans="1:17" ht="14.25">
      <c r="A78">
        <v>74</v>
      </c>
      <c r="B78" t="str">
        <f>"160201"</f>
        <v>160201</v>
      </c>
      <c r="C78" t="str">
        <f>"gm. Baborów"</f>
        <v>gm. Baborów</v>
      </c>
      <c r="D78" t="str">
        <f t="shared" si="15"/>
        <v>głubczycki</v>
      </c>
      <c r="E78" t="str">
        <f t="shared" si="14"/>
        <v>opolskie</v>
      </c>
      <c r="F78">
        <v>3</v>
      </c>
      <c r="G78" t="str">
        <f>"Zespół Szkół, ul.Wiejska 5a, Baborów"</f>
        <v>Zespół Szkół, ul.Wiejska 5a, Baborów</v>
      </c>
      <c r="H78">
        <v>746</v>
      </c>
      <c r="I78">
        <v>721</v>
      </c>
      <c r="J78">
        <v>278</v>
      </c>
      <c r="K78">
        <v>0</v>
      </c>
      <c r="L78">
        <v>443</v>
      </c>
      <c r="M78">
        <v>278</v>
      </c>
      <c r="N78">
        <v>275</v>
      </c>
      <c r="O78">
        <v>3</v>
      </c>
      <c r="P78">
        <v>144</v>
      </c>
      <c r="Q78">
        <v>131</v>
      </c>
    </row>
    <row r="79" spans="1:17" ht="14.25">
      <c r="A79">
        <v>75</v>
      </c>
      <c r="B79" t="str">
        <f>"160201"</f>
        <v>160201</v>
      </c>
      <c r="C79" t="str">
        <f>"gm. Baborów"</f>
        <v>gm. Baborów</v>
      </c>
      <c r="D79" t="str">
        <f t="shared" si="15"/>
        <v>głubczycki</v>
      </c>
      <c r="E79" t="str">
        <f t="shared" si="14"/>
        <v>opolskie</v>
      </c>
      <c r="F79">
        <v>4</v>
      </c>
      <c r="G79" t="str">
        <f>"Strażacki Dom Ludowy, Sucha Psina 28, Sucha Psina"</f>
        <v>Strażacki Dom Ludowy, Sucha Psina 28, Sucha Psina</v>
      </c>
      <c r="H79">
        <v>965</v>
      </c>
      <c r="I79">
        <v>957</v>
      </c>
      <c r="J79">
        <v>362</v>
      </c>
      <c r="K79">
        <v>0</v>
      </c>
      <c r="L79">
        <v>595</v>
      </c>
      <c r="M79">
        <v>362</v>
      </c>
      <c r="N79">
        <v>357</v>
      </c>
      <c r="O79">
        <v>5</v>
      </c>
      <c r="P79">
        <v>217</v>
      </c>
      <c r="Q79">
        <v>140</v>
      </c>
    </row>
    <row r="80" spans="1:17" ht="14.25">
      <c r="A80">
        <v>76</v>
      </c>
      <c r="B80" t="str">
        <f>"160201"</f>
        <v>160201</v>
      </c>
      <c r="C80" t="str">
        <f>"gm. Baborów"</f>
        <v>gm. Baborów</v>
      </c>
      <c r="D80" t="str">
        <f t="shared" si="15"/>
        <v>głubczycki</v>
      </c>
      <c r="E80" t="str">
        <f t="shared" si="14"/>
        <v>opolskie</v>
      </c>
      <c r="F80">
        <v>5</v>
      </c>
      <c r="G80" t="str">
        <f>"Centrum Kształcenia, Raków 83, Raków"</f>
        <v>Centrum Kształcenia, Raków 83, Raków</v>
      </c>
      <c r="H80">
        <v>920</v>
      </c>
      <c r="I80">
        <v>880</v>
      </c>
      <c r="J80">
        <v>316</v>
      </c>
      <c r="K80">
        <v>0</v>
      </c>
      <c r="L80">
        <v>564</v>
      </c>
      <c r="M80">
        <v>316</v>
      </c>
      <c r="N80">
        <v>314</v>
      </c>
      <c r="O80">
        <v>2</v>
      </c>
      <c r="P80">
        <v>106</v>
      </c>
      <c r="Q80">
        <v>208</v>
      </c>
    </row>
    <row r="81" spans="1:17" ht="14.25">
      <c r="A81">
        <v>77</v>
      </c>
      <c r="B81" t="str">
        <f aca="true" t="shared" si="16" ref="B81:B90">"160202"</f>
        <v>160202</v>
      </c>
      <c r="C81" t="str">
        <f aca="true" t="shared" si="17" ref="C81:C90">"gm. Branice"</f>
        <v>gm. Branice</v>
      </c>
      <c r="D81" t="str">
        <f t="shared" si="15"/>
        <v>głubczycki</v>
      </c>
      <c r="E81" t="str">
        <f t="shared" si="14"/>
        <v>opolskie</v>
      </c>
      <c r="F81">
        <v>1</v>
      </c>
      <c r="G81" t="str">
        <f>"Szkoła Podstawowa, ul. Szkolna 8, Branice"</f>
        <v>Szkoła Podstawowa, ul. Szkolna 8, Branice</v>
      </c>
      <c r="H81">
        <v>1912</v>
      </c>
      <c r="I81">
        <v>1839</v>
      </c>
      <c r="J81">
        <v>884</v>
      </c>
      <c r="K81">
        <v>1</v>
      </c>
      <c r="L81">
        <v>955</v>
      </c>
      <c r="M81">
        <v>884</v>
      </c>
      <c r="N81">
        <v>879</v>
      </c>
      <c r="O81">
        <v>5</v>
      </c>
      <c r="P81">
        <v>397</v>
      </c>
      <c r="Q81">
        <v>482</v>
      </c>
    </row>
    <row r="82" spans="1:17" ht="14.25">
      <c r="A82">
        <v>78</v>
      </c>
      <c r="B82" t="str">
        <f t="shared" si="16"/>
        <v>160202</v>
      </c>
      <c r="C82" t="str">
        <f t="shared" si="17"/>
        <v>gm. Branice</v>
      </c>
      <c r="D82" t="str">
        <f t="shared" si="15"/>
        <v>głubczycki</v>
      </c>
      <c r="E82" t="str">
        <f t="shared" si="14"/>
        <v>opolskie</v>
      </c>
      <c r="F82">
        <v>2</v>
      </c>
      <c r="G82" t="str">
        <f>"Świetlic Wiejska w Wysokiej, Wysoka 18, Wysoka"</f>
        <v>Świetlic Wiejska w Wysokiej, Wysoka 18, Wysoka</v>
      </c>
      <c r="H82">
        <v>639</v>
      </c>
      <c r="I82">
        <v>640</v>
      </c>
      <c r="J82">
        <v>282</v>
      </c>
      <c r="K82">
        <v>0</v>
      </c>
      <c r="L82">
        <v>358</v>
      </c>
      <c r="M82">
        <v>282</v>
      </c>
      <c r="N82">
        <v>278</v>
      </c>
      <c r="O82">
        <v>4</v>
      </c>
      <c r="P82">
        <v>133</v>
      </c>
      <c r="Q82">
        <v>145</v>
      </c>
    </row>
    <row r="83" spans="1:17" ht="14.25">
      <c r="A83">
        <v>79</v>
      </c>
      <c r="B83" t="str">
        <f t="shared" si="16"/>
        <v>160202</v>
      </c>
      <c r="C83" t="str">
        <f t="shared" si="17"/>
        <v>gm. Branice</v>
      </c>
      <c r="D83" t="str">
        <f t="shared" si="15"/>
        <v>głubczycki</v>
      </c>
      <c r="E83" t="str">
        <f t="shared" si="14"/>
        <v>opolskie</v>
      </c>
      <c r="F83">
        <v>3</v>
      </c>
      <c r="G83" t="str">
        <f>"Szkoła Podstawowa we Włodzieninie, Włodzienin 50, Włodzienin"</f>
        <v>Szkoła Podstawowa we Włodzieninie, Włodzienin 50, Włodzienin</v>
      </c>
      <c r="H83">
        <v>1314</v>
      </c>
      <c r="I83">
        <v>1380</v>
      </c>
      <c r="J83">
        <v>434</v>
      </c>
      <c r="K83">
        <v>0</v>
      </c>
      <c r="L83">
        <v>946</v>
      </c>
      <c r="M83">
        <v>434</v>
      </c>
      <c r="N83">
        <v>429</v>
      </c>
      <c r="O83">
        <v>5</v>
      </c>
      <c r="P83">
        <v>220</v>
      </c>
      <c r="Q83">
        <v>209</v>
      </c>
    </row>
    <row r="84" spans="1:17" ht="14.25">
      <c r="A84">
        <v>80</v>
      </c>
      <c r="B84" t="str">
        <f t="shared" si="16"/>
        <v>160202</v>
      </c>
      <c r="C84" t="str">
        <f t="shared" si="17"/>
        <v>gm. Branice</v>
      </c>
      <c r="D84" t="str">
        <f t="shared" si="15"/>
        <v>głubczycki</v>
      </c>
      <c r="E84" t="str">
        <f t="shared" si="14"/>
        <v>opolskie</v>
      </c>
      <c r="F84">
        <v>4</v>
      </c>
      <c r="G84" t="str">
        <f>"Szkoła Podstawowa w Uciechowicach, Uciechowice 46, Uciechowice"</f>
        <v>Szkoła Podstawowa w Uciechowicach, Uciechowice 46, Uciechowice</v>
      </c>
      <c r="H84">
        <v>751</v>
      </c>
      <c r="I84">
        <v>716</v>
      </c>
      <c r="J84">
        <v>313</v>
      </c>
      <c r="K84">
        <v>2</v>
      </c>
      <c r="L84">
        <v>403</v>
      </c>
      <c r="M84">
        <v>313</v>
      </c>
      <c r="N84">
        <v>312</v>
      </c>
      <c r="O84">
        <v>1</v>
      </c>
      <c r="P84">
        <v>139</v>
      </c>
      <c r="Q84">
        <v>173</v>
      </c>
    </row>
    <row r="85" spans="1:17" ht="14.25">
      <c r="A85">
        <v>81</v>
      </c>
      <c r="B85" t="str">
        <f t="shared" si="16"/>
        <v>160202</v>
      </c>
      <c r="C85" t="str">
        <f t="shared" si="17"/>
        <v>gm. Branice</v>
      </c>
      <c r="D85" t="str">
        <f t="shared" si="15"/>
        <v>głubczycki</v>
      </c>
      <c r="E85" t="str">
        <f t="shared" si="14"/>
        <v>opolskie</v>
      </c>
      <c r="F85">
        <v>5</v>
      </c>
      <c r="G85" t="str">
        <f>"Wiejski Dom Kultury w Bliszczycach, Bliszczyce 112, Bliszczyce"</f>
        <v>Wiejski Dom Kultury w Bliszczycach, Bliszczyce 112, Bliszczyce</v>
      </c>
      <c r="H85">
        <v>458</v>
      </c>
      <c r="I85">
        <v>480</v>
      </c>
      <c r="J85">
        <v>216</v>
      </c>
      <c r="K85">
        <v>0</v>
      </c>
      <c r="L85">
        <v>264</v>
      </c>
      <c r="M85">
        <v>216</v>
      </c>
      <c r="N85">
        <v>215</v>
      </c>
      <c r="O85">
        <v>1</v>
      </c>
      <c r="P85">
        <v>107</v>
      </c>
      <c r="Q85">
        <v>108</v>
      </c>
    </row>
    <row r="86" spans="1:17" ht="14.25">
      <c r="A86">
        <v>82</v>
      </c>
      <c r="B86" t="str">
        <f t="shared" si="16"/>
        <v>160202</v>
      </c>
      <c r="C86" t="str">
        <f t="shared" si="17"/>
        <v>gm. Branice</v>
      </c>
      <c r="D86" t="str">
        <f t="shared" si="15"/>
        <v>głubczycki</v>
      </c>
      <c r="E86" t="str">
        <f t="shared" si="14"/>
        <v>opolskie</v>
      </c>
      <c r="F86">
        <v>6</v>
      </c>
      <c r="G86" t="str">
        <f>"Świetlica Wiejska w Lewicach, Lewice, Lewice"</f>
        <v>Świetlica Wiejska w Lewicach, Lewice, Lewice</v>
      </c>
      <c r="H86">
        <v>521</v>
      </c>
      <c r="I86">
        <v>576</v>
      </c>
      <c r="J86">
        <v>240</v>
      </c>
      <c r="K86">
        <v>1</v>
      </c>
      <c r="L86">
        <v>336</v>
      </c>
      <c r="M86">
        <v>240</v>
      </c>
      <c r="N86">
        <v>235</v>
      </c>
      <c r="O86">
        <v>5</v>
      </c>
      <c r="P86">
        <v>150</v>
      </c>
      <c r="Q86">
        <v>85</v>
      </c>
    </row>
    <row r="87" spans="1:17" ht="14.25">
      <c r="A87">
        <v>83</v>
      </c>
      <c r="B87" t="str">
        <f t="shared" si="16"/>
        <v>160202</v>
      </c>
      <c r="C87" t="str">
        <f t="shared" si="17"/>
        <v>gm. Branice</v>
      </c>
      <c r="D87" t="str">
        <f t="shared" si="15"/>
        <v>głubczycki</v>
      </c>
      <c r="E87" t="str">
        <f t="shared" si="14"/>
        <v>opolskie</v>
      </c>
      <c r="F87">
        <v>7</v>
      </c>
      <c r="G87" t="str">
        <f>"Wojewódzki Szpital w Branicach, ul. Szpitalna 18, Branice"</f>
        <v>Wojewódzki Szpital w Branicach, ul. Szpitalna 18, Branice</v>
      </c>
      <c r="H87">
        <v>358</v>
      </c>
      <c r="I87">
        <v>147</v>
      </c>
      <c r="J87">
        <v>130</v>
      </c>
      <c r="K87">
        <v>0</v>
      </c>
      <c r="L87">
        <v>17</v>
      </c>
      <c r="M87">
        <v>130</v>
      </c>
      <c r="N87">
        <v>119</v>
      </c>
      <c r="O87">
        <v>11</v>
      </c>
      <c r="P87">
        <v>40</v>
      </c>
      <c r="Q87">
        <v>79</v>
      </c>
    </row>
    <row r="88" spans="1:17" ht="14.25">
      <c r="A88">
        <v>84</v>
      </c>
      <c r="B88" t="str">
        <f t="shared" si="16"/>
        <v>160202</v>
      </c>
      <c r="C88" t="str">
        <f t="shared" si="17"/>
        <v>gm. Branice</v>
      </c>
      <c r="D88" t="str">
        <f t="shared" si="15"/>
        <v>głubczycki</v>
      </c>
      <c r="E88" t="str">
        <f t="shared" si="14"/>
        <v>opolskie</v>
      </c>
      <c r="F88">
        <v>8</v>
      </c>
      <c r="G88" t="str">
        <f>"Dom Pomocy Społeczne, Dzbańce-Osiedle 1, Dzbańce-Osiedle"</f>
        <v>Dom Pomocy Społeczne, Dzbańce-Osiedle 1, Dzbańce-Osiedle</v>
      </c>
      <c r="H88">
        <v>98</v>
      </c>
      <c r="I88">
        <v>98</v>
      </c>
      <c r="J88">
        <v>39</v>
      </c>
      <c r="K88">
        <v>0</v>
      </c>
      <c r="L88">
        <v>59</v>
      </c>
      <c r="M88">
        <v>39</v>
      </c>
      <c r="N88">
        <v>36</v>
      </c>
      <c r="O88">
        <v>3</v>
      </c>
      <c r="P88">
        <v>16</v>
      </c>
      <c r="Q88">
        <v>20</v>
      </c>
    </row>
    <row r="89" spans="1:17" ht="14.25">
      <c r="A89">
        <v>85</v>
      </c>
      <c r="B89" t="str">
        <f t="shared" si="16"/>
        <v>160202</v>
      </c>
      <c r="C89" t="str">
        <f t="shared" si="17"/>
        <v>gm. Branice</v>
      </c>
      <c r="D89" t="str">
        <f t="shared" si="15"/>
        <v>głubczycki</v>
      </c>
      <c r="E89" t="str">
        <f t="shared" si="14"/>
        <v>opolskie</v>
      </c>
      <c r="F89">
        <v>9</v>
      </c>
      <c r="G89" t="str">
        <f>"Dom Pomocy Społecznej, Boboluszki 71, Boboluszki"</f>
        <v>Dom Pomocy Społecznej, Boboluszki 71, Boboluszki</v>
      </c>
      <c r="H89">
        <v>41</v>
      </c>
      <c r="I89">
        <v>50</v>
      </c>
      <c r="J89">
        <v>30</v>
      </c>
      <c r="K89">
        <v>0</v>
      </c>
      <c r="L89">
        <v>20</v>
      </c>
      <c r="M89">
        <v>30</v>
      </c>
      <c r="N89">
        <v>25</v>
      </c>
      <c r="O89">
        <v>5</v>
      </c>
      <c r="P89">
        <v>14</v>
      </c>
      <c r="Q89">
        <v>11</v>
      </c>
    </row>
    <row r="90" spans="1:17" ht="14.25">
      <c r="A90">
        <v>86</v>
      </c>
      <c r="B90" t="str">
        <f t="shared" si="16"/>
        <v>160202</v>
      </c>
      <c r="C90" t="str">
        <f t="shared" si="17"/>
        <v>gm. Branice</v>
      </c>
      <c r="D90" t="str">
        <f t="shared" si="15"/>
        <v>głubczycki</v>
      </c>
      <c r="E90" t="str">
        <f t="shared" si="14"/>
        <v>opolskie</v>
      </c>
      <c r="F90">
        <v>10</v>
      </c>
      <c r="G90" t="str">
        <f>"Regionalny Ośrodek Psychiatrii Sądowej w Branicach, ul. Szpitalna 19, Branice"</f>
        <v>Regionalny Ośrodek Psychiatrii Sądowej w Branicach, ul. Szpitalna 19, Branice</v>
      </c>
      <c r="H90">
        <v>54</v>
      </c>
      <c r="I90">
        <v>99</v>
      </c>
      <c r="J90">
        <v>31</v>
      </c>
      <c r="K90">
        <v>0</v>
      </c>
      <c r="L90">
        <v>68</v>
      </c>
      <c r="M90">
        <v>31</v>
      </c>
      <c r="N90">
        <v>31</v>
      </c>
      <c r="O90">
        <v>0</v>
      </c>
      <c r="P90">
        <v>9</v>
      </c>
      <c r="Q90">
        <v>22</v>
      </c>
    </row>
    <row r="91" spans="1:17" ht="14.25">
      <c r="A91">
        <v>87</v>
      </c>
      <c r="B91" t="str">
        <f aca="true" t="shared" si="18" ref="B91:B111">"160203"</f>
        <v>160203</v>
      </c>
      <c r="C91" t="str">
        <f aca="true" t="shared" si="19" ref="C91:C111">"gm. Głubczyce"</f>
        <v>gm. Głubczyce</v>
      </c>
      <c r="D91" t="str">
        <f t="shared" si="15"/>
        <v>głubczycki</v>
      </c>
      <c r="E91" t="str">
        <f t="shared" si="14"/>
        <v>opolskie</v>
      </c>
      <c r="F91">
        <v>1</v>
      </c>
      <c r="G91" t="str">
        <f>"Gimnazjum Nr 1, ul. Kochanowskiego 31, Głubczyce"</f>
        <v>Gimnazjum Nr 1, ul. Kochanowskiego 31, Głubczyce</v>
      </c>
      <c r="H91">
        <v>2056</v>
      </c>
      <c r="I91">
        <v>1918</v>
      </c>
      <c r="J91">
        <v>1165</v>
      </c>
      <c r="K91">
        <v>1</v>
      </c>
      <c r="L91">
        <v>753</v>
      </c>
      <c r="M91">
        <v>1165</v>
      </c>
      <c r="N91">
        <v>1153</v>
      </c>
      <c r="O91">
        <v>12</v>
      </c>
      <c r="P91">
        <v>487</v>
      </c>
      <c r="Q91">
        <v>666</v>
      </c>
    </row>
    <row r="92" spans="1:17" ht="14.25">
      <c r="A92">
        <v>88</v>
      </c>
      <c r="B92" t="str">
        <f t="shared" si="18"/>
        <v>160203</v>
      </c>
      <c r="C92" t="str">
        <f t="shared" si="19"/>
        <v>gm. Głubczyce</v>
      </c>
      <c r="D92" t="str">
        <f t="shared" si="15"/>
        <v>głubczycki</v>
      </c>
      <c r="E92" t="str">
        <f t="shared" si="14"/>
        <v>opolskie</v>
      </c>
      <c r="F92">
        <v>2</v>
      </c>
      <c r="G92" t="str">
        <f>"Świetlica Zarządu Oświaty Kultury i Sportu, ul.Olimpijska 1, Głubczyce"</f>
        <v>Świetlica Zarządu Oświaty Kultury i Sportu, ul.Olimpijska 1, Głubczyce</v>
      </c>
      <c r="H92">
        <v>1486</v>
      </c>
      <c r="I92">
        <v>1440</v>
      </c>
      <c r="J92">
        <v>806</v>
      </c>
      <c r="K92">
        <v>0</v>
      </c>
      <c r="L92">
        <v>634</v>
      </c>
      <c r="M92">
        <v>806</v>
      </c>
      <c r="N92">
        <v>795</v>
      </c>
      <c r="O92">
        <v>11</v>
      </c>
      <c r="P92">
        <v>323</v>
      </c>
      <c r="Q92">
        <v>472</v>
      </c>
    </row>
    <row r="93" spans="1:17" ht="14.25">
      <c r="A93">
        <v>89</v>
      </c>
      <c r="B93" t="str">
        <f t="shared" si="18"/>
        <v>160203</v>
      </c>
      <c r="C93" t="str">
        <f t="shared" si="19"/>
        <v>gm. Głubczyce</v>
      </c>
      <c r="D93" t="str">
        <f t="shared" si="15"/>
        <v>głubczycki</v>
      </c>
      <c r="E93" t="str">
        <f t="shared" si="14"/>
        <v>opolskie</v>
      </c>
      <c r="F93">
        <v>3</v>
      </c>
      <c r="G93" t="str">
        <f>"Miejski Ośrodek Kultury, ul.Kościuszki 24, Głubczyce"</f>
        <v>Miejski Ośrodek Kultury, ul.Kościuszki 24, Głubczyce</v>
      </c>
      <c r="H93">
        <v>1228</v>
      </c>
      <c r="I93">
        <v>1200</v>
      </c>
      <c r="J93">
        <v>627</v>
      </c>
      <c r="K93">
        <v>2</v>
      </c>
      <c r="L93">
        <v>573</v>
      </c>
      <c r="M93">
        <v>627</v>
      </c>
      <c r="N93">
        <v>624</v>
      </c>
      <c r="O93">
        <v>3</v>
      </c>
      <c r="P93">
        <v>301</v>
      </c>
      <c r="Q93">
        <v>323</v>
      </c>
    </row>
    <row r="94" spans="1:17" ht="14.25">
      <c r="A94">
        <v>90</v>
      </c>
      <c r="B94" t="str">
        <f t="shared" si="18"/>
        <v>160203</v>
      </c>
      <c r="C94" t="str">
        <f t="shared" si="19"/>
        <v>gm. Głubczyce</v>
      </c>
      <c r="D94" t="str">
        <f t="shared" si="15"/>
        <v>głubczycki</v>
      </c>
      <c r="E94" t="str">
        <f t="shared" si="14"/>
        <v>opolskie</v>
      </c>
      <c r="F94">
        <v>4</v>
      </c>
      <c r="G94" t="str">
        <f>"Szkoła Podstawowa Nr 1, ul.Dworcowa 2, Głubczyce"</f>
        <v>Szkoła Podstawowa Nr 1, ul.Dworcowa 2, Głubczyce</v>
      </c>
      <c r="H94">
        <v>2022</v>
      </c>
      <c r="I94">
        <v>1760</v>
      </c>
      <c r="J94">
        <v>1003</v>
      </c>
      <c r="K94">
        <v>6</v>
      </c>
      <c r="L94">
        <v>757</v>
      </c>
      <c r="M94">
        <v>1003</v>
      </c>
      <c r="N94">
        <v>994</v>
      </c>
      <c r="O94">
        <v>9</v>
      </c>
      <c r="P94">
        <v>462</v>
      </c>
      <c r="Q94">
        <v>532</v>
      </c>
    </row>
    <row r="95" spans="1:17" ht="14.25">
      <c r="A95">
        <v>91</v>
      </c>
      <c r="B95" t="str">
        <f t="shared" si="18"/>
        <v>160203</v>
      </c>
      <c r="C95" t="str">
        <f t="shared" si="19"/>
        <v>gm. Głubczyce</v>
      </c>
      <c r="D95" t="str">
        <f t="shared" si="15"/>
        <v>głubczycki</v>
      </c>
      <c r="E95" t="str">
        <f t="shared" si="14"/>
        <v>opolskie</v>
      </c>
      <c r="F95">
        <v>5</v>
      </c>
      <c r="G95" t="str">
        <f>"Zespół Szkół Rolnicze Centrum Kształcenia Ustawicznego, ul.Niepodległości 2, Głubczyce"</f>
        <v>Zespół Szkół Rolnicze Centrum Kształcenia Ustawicznego, ul.Niepodległości 2, Głubczyce</v>
      </c>
      <c r="H95">
        <v>764</v>
      </c>
      <c r="I95">
        <v>720</v>
      </c>
      <c r="J95">
        <v>416</v>
      </c>
      <c r="K95">
        <v>1</v>
      </c>
      <c r="L95">
        <v>304</v>
      </c>
      <c r="M95">
        <v>416</v>
      </c>
      <c r="N95">
        <v>412</v>
      </c>
      <c r="O95">
        <v>4</v>
      </c>
      <c r="P95">
        <v>190</v>
      </c>
      <c r="Q95">
        <v>222</v>
      </c>
    </row>
    <row r="96" spans="1:17" ht="14.25">
      <c r="A96">
        <v>92</v>
      </c>
      <c r="B96" t="str">
        <f t="shared" si="18"/>
        <v>160203</v>
      </c>
      <c r="C96" t="str">
        <f t="shared" si="19"/>
        <v>gm. Głubczyce</v>
      </c>
      <c r="D96" t="str">
        <f t="shared" si="15"/>
        <v>głubczycki</v>
      </c>
      <c r="E96" t="str">
        <f t="shared" si="14"/>
        <v>opolskie</v>
      </c>
      <c r="F96">
        <v>6</v>
      </c>
      <c r="G96" t="str">
        <f>"Świetlica Spółdzielni Mieszkaniowej , ul.Kręta 10, Głubczyce"</f>
        <v>Świetlica Spółdzielni Mieszkaniowej , ul.Kręta 10, Głubczyce</v>
      </c>
      <c r="H96">
        <v>1658</v>
      </c>
      <c r="I96">
        <v>1520</v>
      </c>
      <c r="J96">
        <v>856</v>
      </c>
      <c r="K96">
        <v>0</v>
      </c>
      <c r="L96">
        <v>664</v>
      </c>
      <c r="M96">
        <v>856</v>
      </c>
      <c r="N96">
        <v>839</v>
      </c>
      <c r="O96">
        <v>17</v>
      </c>
      <c r="P96">
        <v>391</v>
      </c>
      <c r="Q96">
        <v>448</v>
      </c>
    </row>
    <row r="97" spans="1:17" ht="14.25">
      <c r="A97">
        <v>93</v>
      </c>
      <c r="B97" t="str">
        <f t="shared" si="18"/>
        <v>160203</v>
      </c>
      <c r="C97" t="str">
        <f t="shared" si="19"/>
        <v>gm. Głubczyce</v>
      </c>
      <c r="D97" t="str">
        <f t="shared" si="15"/>
        <v>głubczycki</v>
      </c>
      <c r="E97" t="str">
        <f t="shared" si="14"/>
        <v>opolskie</v>
      </c>
      <c r="F97">
        <v>7</v>
      </c>
      <c r="G97" t="str">
        <f>"Szkoła Podstawowa Nr 2, ul. Kochanowskiego 2, Głubczyce"</f>
        <v>Szkoła Podstawowa Nr 2, ul. Kochanowskiego 2, Głubczyce</v>
      </c>
      <c r="H97">
        <v>1335</v>
      </c>
      <c r="I97">
        <v>1280</v>
      </c>
      <c r="J97">
        <v>710</v>
      </c>
      <c r="K97">
        <v>0</v>
      </c>
      <c r="L97">
        <v>570</v>
      </c>
      <c r="M97">
        <v>710</v>
      </c>
      <c r="N97">
        <v>700</v>
      </c>
      <c r="O97">
        <v>10</v>
      </c>
      <c r="P97">
        <v>326</v>
      </c>
      <c r="Q97">
        <v>374</v>
      </c>
    </row>
    <row r="98" spans="1:17" ht="14.25">
      <c r="A98">
        <v>94</v>
      </c>
      <c r="B98" t="str">
        <f t="shared" si="18"/>
        <v>160203</v>
      </c>
      <c r="C98" t="str">
        <f t="shared" si="19"/>
        <v>gm. Głubczyce</v>
      </c>
      <c r="D98" t="str">
        <f t="shared" si="15"/>
        <v>głubczycki</v>
      </c>
      <c r="E98" t="str">
        <f t="shared" si="14"/>
        <v>opolskie</v>
      </c>
      <c r="F98">
        <v>8</v>
      </c>
      <c r="G98" t="str">
        <f>"Szkoła Podstawowa, ul. Św.Jana 12, Grobniki"</f>
        <v>Szkoła Podstawowa, ul. Św.Jana 12, Grobniki</v>
      </c>
      <c r="H98">
        <v>948</v>
      </c>
      <c r="I98">
        <v>880</v>
      </c>
      <c r="J98">
        <v>421</v>
      </c>
      <c r="K98">
        <v>0</v>
      </c>
      <c r="L98">
        <v>459</v>
      </c>
      <c r="M98">
        <v>421</v>
      </c>
      <c r="N98">
        <v>417</v>
      </c>
      <c r="O98">
        <v>4</v>
      </c>
      <c r="P98">
        <v>246</v>
      </c>
      <c r="Q98">
        <v>171</v>
      </c>
    </row>
    <row r="99" spans="1:17" ht="14.25">
      <c r="A99">
        <v>95</v>
      </c>
      <c r="B99" t="str">
        <f t="shared" si="18"/>
        <v>160203</v>
      </c>
      <c r="C99" t="str">
        <f t="shared" si="19"/>
        <v>gm. Głubczyce</v>
      </c>
      <c r="D99" t="str">
        <f t="shared" si="15"/>
        <v>głubczycki</v>
      </c>
      <c r="E99" t="str">
        <f t="shared" si="14"/>
        <v>opolskie</v>
      </c>
      <c r="F99">
        <v>9</v>
      </c>
      <c r="G99" t="str">
        <f>"Szkoła Podstawowa, ul.Konopnickiej 15, Bogdanowice"</f>
        <v>Szkoła Podstawowa, ul.Konopnickiej 15, Bogdanowice</v>
      </c>
      <c r="H99">
        <v>832</v>
      </c>
      <c r="I99">
        <v>800</v>
      </c>
      <c r="J99">
        <v>451</v>
      </c>
      <c r="K99">
        <v>0</v>
      </c>
      <c r="L99">
        <v>349</v>
      </c>
      <c r="M99">
        <v>451</v>
      </c>
      <c r="N99">
        <v>451</v>
      </c>
      <c r="O99">
        <v>0</v>
      </c>
      <c r="P99">
        <v>240</v>
      </c>
      <c r="Q99">
        <v>211</v>
      </c>
    </row>
    <row r="100" spans="1:17" ht="14.25">
      <c r="A100">
        <v>96</v>
      </c>
      <c r="B100" t="str">
        <f t="shared" si="18"/>
        <v>160203</v>
      </c>
      <c r="C100" t="str">
        <f t="shared" si="19"/>
        <v>gm. Głubczyce</v>
      </c>
      <c r="D100" t="str">
        <f t="shared" si="15"/>
        <v>głubczycki</v>
      </c>
      <c r="E100" t="str">
        <f t="shared" si="14"/>
        <v>opolskie</v>
      </c>
      <c r="F100">
        <v>10</v>
      </c>
      <c r="G100" t="str">
        <f>"Środowiskowy Dom Samopomocy, Nowe Gołuszowice 18, Nowe Gołuszowice"</f>
        <v>Środowiskowy Dom Samopomocy, Nowe Gołuszowice 18, Nowe Gołuszowice</v>
      </c>
      <c r="H100">
        <v>600</v>
      </c>
      <c r="I100">
        <v>580</v>
      </c>
      <c r="J100">
        <v>295</v>
      </c>
      <c r="K100">
        <v>0</v>
      </c>
      <c r="L100">
        <v>285</v>
      </c>
      <c r="M100">
        <v>295</v>
      </c>
      <c r="N100">
        <v>294</v>
      </c>
      <c r="O100">
        <v>1</v>
      </c>
      <c r="P100">
        <v>178</v>
      </c>
      <c r="Q100">
        <v>116</v>
      </c>
    </row>
    <row r="101" spans="1:17" ht="14.25">
      <c r="A101">
        <v>97</v>
      </c>
      <c r="B101" t="str">
        <f t="shared" si="18"/>
        <v>160203</v>
      </c>
      <c r="C101" t="str">
        <f t="shared" si="19"/>
        <v>gm. Głubczyce</v>
      </c>
      <c r="D101" t="str">
        <f t="shared" si="15"/>
        <v>głubczycki</v>
      </c>
      <c r="E101" t="str">
        <f t="shared" si="14"/>
        <v>opolskie</v>
      </c>
      <c r="F101">
        <v>11</v>
      </c>
      <c r="G101" t="str">
        <f>"Szkoła Podstawowa, ul.Opawska 15, Zopowy"</f>
        <v>Szkoła Podstawowa, ul.Opawska 15, Zopowy</v>
      </c>
      <c r="H101">
        <v>737</v>
      </c>
      <c r="I101">
        <v>720</v>
      </c>
      <c r="J101">
        <v>332</v>
      </c>
      <c r="K101">
        <v>0</v>
      </c>
      <c r="L101">
        <v>388</v>
      </c>
      <c r="M101">
        <v>332</v>
      </c>
      <c r="N101">
        <v>328</v>
      </c>
      <c r="O101">
        <v>4</v>
      </c>
      <c r="P101">
        <v>186</v>
      </c>
      <c r="Q101">
        <v>142</v>
      </c>
    </row>
    <row r="102" spans="1:17" ht="14.25">
      <c r="A102">
        <v>98</v>
      </c>
      <c r="B102" t="str">
        <f t="shared" si="18"/>
        <v>160203</v>
      </c>
      <c r="C102" t="str">
        <f t="shared" si="19"/>
        <v>gm. Głubczyce</v>
      </c>
      <c r="D102" t="str">
        <f t="shared" si="15"/>
        <v>głubczycki</v>
      </c>
      <c r="E102" t="str">
        <f t="shared" si="14"/>
        <v>opolskie</v>
      </c>
      <c r="F102">
        <v>12</v>
      </c>
      <c r="G102" t="str">
        <f>"Zespół Szkół, Pietrowice 9, Pietrowice"</f>
        <v>Zespół Szkół, Pietrowice 9, Pietrowice</v>
      </c>
      <c r="H102">
        <v>986</v>
      </c>
      <c r="I102">
        <v>881</v>
      </c>
      <c r="J102">
        <v>467</v>
      </c>
      <c r="K102">
        <v>0</v>
      </c>
      <c r="L102">
        <v>414</v>
      </c>
      <c r="M102">
        <v>467</v>
      </c>
      <c r="N102">
        <v>464</v>
      </c>
      <c r="O102">
        <v>3</v>
      </c>
      <c r="P102">
        <v>261</v>
      </c>
      <c r="Q102">
        <v>203</v>
      </c>
    </row>
    <row r="103" spans="1:17" ht="14.25">
      <c r="A103">
        <v>99</v>
      </c>
      <c r="B103" t="str">
        <f t="shared" si="18"/>
        <v>160203</v>
      </c>
      <c r="C103" t="str">
        <f t="shared" si="19"/>
        <v>gm. Głubczyce</v>
      </c>
      <c r="D103" t="str">
        <f t="shared" si="15"/>
        <v>głubczycki</v>
      </c>
      <c r="E103" t="str">
        <f t="shared" si="14"/>
        <v>opolskie</v>
      </c>
      <c r="F103">
        <v>13</v>
      </c>
      <c r="G103" t="str">
        <f>"Świetlica Wiejska, Równe 120, Równe"</f>
        <v>Świetlica Wiejska, Równe 120, Równe</v>
      </c>
      <c r="H103">
        <v>610</v>
      </c>
      <c r="I103">
        <v>600</v>
      </c>
      <c r="J103">
        <v>266</v>
      </c>
      <c r="K103">
        <v>0</v>
      </c>
      <c r="L103">
        <v>334</v>
      </c>
      <c r="M103">
        <v>266</v>
      </c>
      <c r="N103">
        <v>263</v>
      </c>
      <c r="O103">
        <v>3</v>
      </c>
      <c r="P103">
        <v>102</v>
      </c>
      <c r="Q103">
        <v>161</v>
      </c>
    </row>
    <row r="104" spans="1:17" ht="14.25">
      <c r="A104">
        <v>100</v>
      </c>
      <c r="B104" t="str">
        <f t="shared" si="18"/>
        <v>160203</v>
      </c>
      <c r="C104" t="str">
        <f t="shared" si="19"/>
        <v>gm. Głubczyce</v>
      </c>
      <c r="D104" t="str">
        <f t="shared" si="15"/>
        <v>głubczycki</v>
      </c>
      <c r="E104" t="str">
        <f t="shared" si="14"/>
        <v>opolskie</v>
      </c>
      <c r="F104">
        <v>14</v>
      </c>
      <c r="G104" t="str">
        <f>"Publiczna Szkoła Podstawowa, Gołuszowice 34, Gołuszowice"</f>
        <v>Publiczna Szkoła Podstawowa, Gołuszowice 34, Gołuszowice</v>
      </c>
      <c r="H104">
        <v>526</v>
      </c>
      <c r="I104">
        <v>515</v>
      </c>
      <c r="J104">
        <v>285</v>
      </c>
      <c r="K104">
        <v>0</v>
      </c>
      <c r="L104">
        <v>230</v>
      </c>
      <c r="M104">
        <v>285</v>
      </c>
      <c r="N104">
        <v>283</v>
      </c>
      <c r="O104">
        <v>2</v>
      </c>
      <c r="P104">
        <v>196</v>
      </c>
      <c r="Q104">
        <v>87</v>
      </c>
    </row>
    <row r="105" spans="1:17" ht="14.25">
      <c r="A105">
        <v>101</v>
      </c>
      <c r="B105" t="str">
        <f t="shared" si="18"/>
        <v>160203</v>
      </c>
      <c r="C105" t="str">
        <f t="shared" si="19"/>
        <v>gm. Głubczyce</v>
      </c>
      <c r="D105" t="str">
        <f t="shared" si="15"/>
        <v>głubczycki</v>
      </c>
      <c r="E105" t="str">
        <f t="shared" si="14"/>
        <v>opolskie</v>
      </c>
      <c r="F105">
        <v>15</v>
      </c>
      <c r="G105" t="str">
        <f>"Świetlica Wiejska, Głubczyce-Sady 1, Głubczyce-Sady"</f>
        <v>Świetlica Wiejska, Głubczyce-Sady 1, Głubczyce-Sady</v>
      </c>
      <c r="H105">
        <v>516</v>
      </c>
      <c r="I105">
        <v>500</v>
      </c>
      <c r="J105">
        <v>253</v>
      </c>
      <c r="K105">
        <v>0</v>
      </c>
      <c r="L105">
        <v>247</v>
      </c>
      <c r="M105">
        <v>253</v>
      </c>
      <c r="N105">
        <v>252</v>
      </c>
      <c r="O105">
        <v>1</v>
      </c>
      <c r="P105">
        <v>83</v>
      </c>
      <c r="Q105">
        <v>169</v>
      </c>
    </row>
    <row r="106" spans="1:17" ht="14.25">
      <c r="A106">
        <v>102</v>
      </c>
      <c r="B106" t="str">
        <f t="shared" si="18"/>
        <v>160203</v>
      </c>
      <c r="C106" t="str">
        <f t="shared" si="19"/>
        <v>gm. Głubczyce</v>
      </c>
      <c r="D106" t="str">
        <f t="shared" si="15"/>
        <v>głubczycki</v>
      </c>
      <c r="E106" t="str">
        <f t="shared" si="14"/>
        <v>opolskie</v>
      </c>
      <c r="F106">
        <v>16</v>
      </c>
      <c r="G106" t="str">
        <f>"Zespół Szkół, ul.Szkolna 5, Lisięcice"</f>
        <v>Zespół Szkół, ul.Szkolna 5, Lisięcice</v>
      </c>
      <c r="H106">
        <v>1311</v>
      </c>
      <c r="I106">
        <v>1200</v>
      </c>
      <c r="J106">
        <v>518</v>
      </c>
      <c r="K106">
        <v>0</v>
      </c>
      <c r="L106">
        <v>682</v>
      </c>
      <c r="M106">
        <v>518</v>
      </c>
      <c r="N106">
        <v>516</v>
      </c>
      <c r="O106">
        <v>2</v>
      </c>
      <c r="P106">
        <v>235</v>
      </c>
      <c r="Q106">
        <v>281</v>
      </c>
    </row>
    <row r="107" spans="1:17" ht="14.25">
      <c r="A107">
        <v>103</v>
      </c>
      <c r="B107" t="str">
        <f t="shared" si="18"/>
        <v>160203</v>
      </c>
      <c r="C107" t="str">
        <f t="shared" si="19"/>
        <v>gm. Głubczyce</v>
      </c>
      <c r="D107" t="str">
        <f t="shared" si="15"/>
        <v>głubczycki</v>
      </c>
      <c r="E107" t="str">
        <f t="shared" si="14"/>
        <v>opolskie</v>
      </c>
      <c r="F107">
        <v>17</v>
      </c>
      <c r="G107" t="str">
        <f>"Szkoła Podstawowa, Klisino 68, Klisino"</f>
        <v>Szkoła Podstawowa, Klisino 68, Klisino</v>
      </c>
      <c r="H107">
        <v>531</v>
      </c>
      <c r="I107">
        <v>520</v>
      </c>
      <c r="J107">
        <v>239</v>
      </c>
      <c r="K107">
        <v>0</v>
      </c>
      <c r="L107">
        <v>281</v>
      </c>
      <c r="M107">
        <v>239</v>
      </c>
      <c r="N107">
        <v>234</v>
      </c>
      <c r="O107">
        <v>5</v>
      </c>
      <c r="P107">
        <v>107</v>
      </c>
      <c r="Q107">
        <v>127</v>
      </c>
    </row>
    <row r="108" spans="1:17" ht="14.25">
      <c r="A108">
        <v>104</v>
      </c>
      <c r="B108" t="str">
        <f t="shared" si="18"/>
        <v>160203</v>
      </c>
      <c r="C108" t="str">
        <f t="shared" si="19"/>
        <v>gm. Głubczyce</v>
      </c>
      <c r="D108" t="str">
        <f t="shared" si="15"/>
        <v>głubczycki</v>
      </c>
      <c r="E108" t="str">
        <f t="shared" si="14"/>
        <v>opolskie</v>
      </c>
      <c r="F108">
        <v>18</v>
      </c>
      <c r="G108" t="str">
        <f>"Świetlica Wiejska, Ściborzyce Małe 66, Ściborzyce Małe"</f>
        <v>Świetlica Wiejska, Ściborzyce Małe 66, Ściborzyce Małe</v>
      </c>
      <c r="H108">
        <v>704</v>
      </c>
      <c r="I108">
        <v>720</v>
      </c>
      <c r="J108">
        <v>301</v>
      </c>
      <c r="K108">
        <v>1</v>
      </c>
      <c r="L108">
        <v>419</v>
      </c>
      <c r="M108">
        <v>301</v>
      </c>
      <c r="N108">
        <v>293</v>
      </c>
      <c r="O108">
        <v>8</v>
      </c>
      <c r="P108">
        <v>171</v>
      </c>
      <c r="Q108">
        <v>122</v>
      </c>
    </row>
    <row r="109" spans="1:17" ht="14.25">
      <c r="A109">
        <v>105</v>
      </c>
      <c r="B109" t="str">
        <f t="shared" si="18"/>
        <v>160203</v>
      </c>
      <c r="C109" t="str">
        <f t="shared" si="19"/>
        <v>gm. Głubczyce</v>
      </c>
      <c r="D109" t="str">
        <f t="shared" si="15"/>
        <v>głubczycki</v>
      </c>
      <c r="E109" t="str">
        <f t="shared" si="14"/>
        <v>opolskie</v>
      </c>
      <c r="F109">
        <v>19</v>
      </c>
      <c r="G109" t="str">
        <f>"Szpital Powiatowy, ul.Skłodowskiej 28, Głubczyce"</f>
        <v>Szpital Powiatowy, ul.Skłodowskiej 28, Głubczyce</v>
      </c>
      <c r="H109">
        <v>83</v>
      </c>
      <c r="I109">
        <v>90</v>
      </c>
      <c r="J109">
        <v>20</v>
      </c>
      <c r="K109">
        <v>0</v>
      </c>
      <c r="L109">
        <v>70</v>
      </c>
      <c r="M109">
        <v>20</v>
      </c>
      <c r="N109">
        <v>19</v>
      </c>
      <c r="O109">
        <v>1</v>
      </c>
      <c r="P109">
        <v>11</v>
      </c>
      <c r="Q109">
        <v>8</v>
      </c>
    </row>
    <row r="110" spans="1:17" ht="14.25">
      <c r="A110">
        <v>106</v>
      </c>
      <c r="B110" t="str">
        <f t="shared" si="18"/>
        <v>160203</v>
      </c>
      <c r="C110" t="str">
        <f t="shared" si="19"/>
        <v>gm. Głubczyce</v>
      </c>
      <c r="D110" t="str">
        <f t="shared" si="15"/>
        <v>głubczycki</v>
      </c>
      <c r="E110" t="str">
        <f t="shared" si="14"/>
        <v>opolskie</v>
      </c>
      <c r="F110">
        <v>20</v>
      </c>
      <c r="G110" t="str">
        <f>"Świetlica Domu Pomocy Społecznej, Klisino 100, Klisino"</f>
        <v>Świetlica Domu Pomocy Społecznej, Klisino 100, Klisino</v>
      </c>
      <c r="H110">
        <v>64</v>
      </c>
      <c r="I110">
        <v>70</v>
      </c>
      <c r="J110">
        <v>53</v>
      </c>
      <c r="K110">
        <v>0</v>
      </c>
      <c r="L110">
        <v>17</v>
      </c>
      <c r="M110">
        <v>53</v>
      </c>
      <c r="N110">
        <v>50</v>
      </c>
      <c r="O110">
        <v>3</v>
      </c>
      <c r="P110">
        <v>35</v>
      </c>
      <c r="Q110">
        <v>15</v>
      </c>
    </row>
    <row r="111" spans="1:17" ht="14.25">
      <c r="A111">
        <v>107</v>
      </c>
      <c r="B111" t="str">
        <f t="shared" si="18"/>
        <v>160203</v>
      </c>
      <c r="C111" t="str">
        <f t="shared" si="19"/>
        <v>gm. Głubczyce</v>
      </c>
      <c r="D111" t="str">
        <f t="shared" si="15"/>
        <v>głubczycki</v>
      </c>
      <c r="E111" t="str">
        <f t="shared" si="14"/>
        <v>opolskie</v>
      </c>
      <c r="F111">
        <v>21</v>
      </c>
      <c r="G111" t="str">
        <f>"Świetlica Zakładu Karnego, ul.Kochanowskiego 1, Głubczyce"</f>
        <v>Świetlica Zakładu Karnego, ul.Kochanowskiego 1, Głubczyce</v>
      </c>
      <c r="H111">
        <v>316</v>
      </c>
      <c r="I111">
        <v>300</v>
      </c>
      <c r="J111">
        <v>201</v>
      </c>
      <c r="K111">
        <v>0</v>
      </c>
      <c r="L111">
        <v>99</v>
      </c>
      <c r="M111">
        <v>201</v>
      </c>
      <c r="N111">
        <v>196</v>
      </c>
      <c r="O111">
        <v>5</v>
      </c>
      <c r="P111">
        <v>37</v>
      </c>
      <c r="Q111">
        <v>159</v>
      </c>
    </row>
    <row r="112" spans="1:17" ht="14.25">
      <c r="A112">
        <v>108</v>
      </c>
      <c r="B112" t="str">
        <f aca="true" t="shared" si="20" ref="B112:B121">"160204"</f>
        <v>160204</v>
      </c>
      <c r="C112" t="str">
        <f aca="true" t="shared" si="21" ref="C112:C121">"gm. Kietrz"</f>
        <v>gm. Kietrz</v>
      </c>
      <c r="D112" t="str">
        <f t="shared" si="15"/>
        <v>głubczycki</v>
      </c>
      <c r="E112" t="str">
        <f t="shared" si="14"/>
        <v>opolskie</v>
      </c>
      <c r="F112">
        <v>1</v>
      </c>
      <c r="G112" t="str">
        <f>"Miejski Dom Kultury w Kietrzu ul. Wojska Polskiego 20, Kietrz"</f>
        <v>Miejski Dom Kultury w Kietrzu ul. Wojska Polskiego 20, Kietrz</v>
      </c>
      <c r="H112">
        <v>1955</v>
      </c>
      <c r="I112">
        <v>1839</v>
      </c>
      <c r="J112">
        <v>982</v>
      </c>
      <c r="K112">
        <v>1</v>
      </c>
      <c r="L112">
        <v>857</v>
      </c>
      <c r="M112">
        <v>982</v>
      </c>
      <c r="N112">
        <v>974</v>
      </c>
      <c r="O112">
        <v>8</v>
      </c>
      <c r="P112">
        <v>398</v>
      </c>
      <c r="Q112">
        <v>576</v>
      </c>
    </row>
    <row r="113" spans="1:17" ht="14.25">
      <c r="A113">
        <v>109</v>
      </c>
      <c r="B113" t="str">
        <f t="shared" si="20"/>
        <v>160204</v>
      </c>
      <c r="C113" t="str">
        <f t="shared" si="21"/>
        <v>gm. Kietrz</v>
      </c>
      <c r="D113" t="str">
        <f t="shared" si="15"/>
        <v>głubczycki</v>
      </c>
      <c r="E113" t="str">
        <f t="shared" si="14"/>
        <v>opolskie</v>
      </c>
      <c r="F113">
        <v>2</v>
      </c>
      <c r="G113" t="str">
        <f>"Urząd Stanu Cywilnego w Kietrzu ul. Głubczycka 22, Kietrz"</f>
        <v>Urząd Stanu Cywilnego w Kietrzu ul. Głubczycka 22, Kietrz</v>
      </c>
      <c r="H113">
        <v>1932</v>
      </c>
      <c r="I113">
        <v>1760</v>
      </c>
      <c r="J113">
        <v>1008</v>
      </c>
      <c r="K113">
        <v>1</v>
      </c>
      <c r="L113">
        <v>752</v>
      </c>
      <c r="M113">
        <v>1008</v>
      </c>
      <c r="N113">
        <v>1001</v>
      </c>
      <c r="O113">
        <v>7</v>
      </c>
      <c r="P113">
        <v>435</v>
      </c>
      <c r="Q113">
        <v>566</v>
      </c>
    </row>
    <row r="114" spans="1:17" ht="14.25">
      <c r="A114">
        <v>110</v>
      </c>
      <c r="B114" t="str">
        <f t="shared" si="20"/>
        <v>160204</v>
      </c>
      <c r="C114" t="str">
        <f t="shared" si="21"/>
        <v>gm. Kietrz</v>
      </c>
      <c r="D114" t="str">
        <f t="shared" si="15"/>
        <v>głubczycki</v>
      </c>
      <c r="E114" t="str">
        <f t="shared" si="14"/>
        <v>opolskie</v>
      </c>
      <c r="F114">
        <v>3</v>
      </c>
      <c r="G114" t="str">
        <f>"Publiczne Przedszkole w Kietrzu ul. Długa 16, Kietrz"</f>
        <v>Publiczne Przedszkole w Kietrzu ul. Długa 16, Kietrz</v>
      </c>
      <c r="H114">
        <v>1218</v>
      </c>
      <c r="I114">
        <v>1117</v>
      </c>
      <c r="J114">
        <v>596</v>
      </c>
      <c r="K114">
        <v>1</v>
      </c>
      <c r="L114">
        <v>521</v>
      </c>
      <c r="M114">
        <v>596</v>
      </c>
      <c r="N114">
        <v>584</v>
      </c>
      <c r="O114">
        <v>12</v>
      </c>
      <c r="P114">
        <v>293</v>
      </c>
      <c r="Q114">
        <v>291</v>
      </c>
    </row>
    <row r="115" spans="1:17" ht="14.25">
      <c r="A115">
        <v>111</v>
      </c>
      <c r="B115" t="str">
        <f t="shared" si="20"/>
        <v>160204</v>
      </c>
      <c r="C115" t="str">
        <f t="shared" si="21"/>
        <v>gm. Kietrz</v>
      </c>
      <c r="D115" t="str">
        <f t="shared" si="15"/>
        <v>głubczycki</v>
      </c>
      <c r="E115" t="str">
        <f t="shared" si="14"/>
        <v>opolskie</v>
      </c>
      <c r="F115">
        <v>4</v>
      </c>
      <c r="G115" t="str">
        <f>"Wiejski Dom Kultury w Nowej Cerekwii, ul. Raciborska 54, Nowa Cerekwia"</f>
        <v>Wiejski Dom Kultury w Nowej Cerekwii, ul. Raciborska 54, Nowa Cerekwia</v>
      </c>
      <c r="H115">
        <v>694</v>
      </c>
      <c r="I115">
        <v>717</v>
      </c>
      <c r="J115">
        <v>368</v>
      </c>
      <c r="K115">
        <v>0</v>
      </c>
      <c r="L115">
        <v>349</v>
      </c>
      <c r="M115">
        <v>368</v>
      </c>
      <c r="N115">
        <v>363</v>
      </c>
      <c r="O115">
        <v>5</v>
      </c>
      <c r="P115">
        <v>238</v>
      </c>
      <c r="Q115">
        <v>125</v>
      </c>
    </row>
    <row r="116" spans="1:17" ht="14.25">
      <c r="A116">
        <v>112</v>
      </c>
      <c r="B116" t="str">
        <f t="shared" si="20"/>
        <v>160204</v>
      </c>
      <c r="C116" t="str">
        <f t="shared" si="21"/>
        <v>gm. Kietrz</v>
      </c>
      <c r="D116" t="str">
        <f t="shared" si="15"/>
        <v>głubczycki</v>
      </c>
      <c r="E116" t="str">
        <f t="shared" si="14"/>
        <v>opolskie</v>
      </c>
      <c r="F116">
        <v>5</v>
      </c>
      <c r="G116" t="str">
        <f>"Wiejski Dom Kultury w Nasiedlu, ul. Świerczewskiego 7A, Nasiedle"</f>
        <v>Wiejski Dom Kultury w Nasiedlu, ul. Świerczewskiego 7A, Nasiedle</v>
      </c>
      <c r="H116">
        <v>664</v>
      </c>
      <c r="I116">
        <v>640</v>
      </c>
      <c r="J116">
        <v>334</v>
      </c>
      <c r="K116">
        <v>0</v>
      </c>
      <c r="L116">
        <v>306</v>
      </c>
      <c r="M116">
        <v>334</v>
      </c>
      <c r="N116">
        <v>325</v>
      </c>
      <c r="O116">
        <v>9</v>
      </c>
      <c r="P116">
        <v>172</v>
      </c>
      <c r="Q116">
        <v>153</v>
      </c>
    </row>
    <row r="117" spans="1:17" ht="14.25">
      <c r="A117">
        <v>113</v>
      </c>
      <c r="B117" t="str">
        <f t="shared" si="20"/>
        <v>160204</v>
      </c>
      <c r="C117" t="str">
        <f t="shared" si="21"/>
        <v>gm. Kietrz</v>
      </c>
      <c r="D117" t="str">
        <f t="shared" si="15"/>
        <v>głubczycki</v>
      </c>
      <c r="E117" t="str">
        <f t="shared" si="14"/>
        <v>opolskie</v>
      </c>
      <c r="F117">
        <v>6</v>
      </c>
      <c r="G117" t="str">
        <f>"Szkoła Podstawowa w Dzierżysławiu, ul. Szkolna 4, Dzierżysław"</f>
        <v>Szkoła Podstawowa w Dzierżysławiu, ul. Szkolna 4, Dzierżysław</v>
      </c>
      <c r="H117">
        <v>466</v>
      </c>
      <c r="I117">
        <v>478</v>
      </c>
      <c r="J117">
        <v>269</v>
      </c>
      <c r="K117">
        <v>0</v>
      </c>
      <c r="L117">
        <v>209</v>
      </c>
      <c r="M117">
        <v>269</v>
      </c>
      <c r="N117">
        <v>267</v>
      </c>
      <c r="O117">
        <v>2</v>
      </c>
      <c r="P117">
        <v>134</v>
      </c>
      <c r="Q117">
        <v>133</v>
      </c>
    </row>
    <row r="118" spans="1:17" ht="14.25">
      <c r="A118">
        <v>114</v>
      </c>
      <c r="B118" t="str">
        <f t="shared" si="20"/>
        <v>160204</v>
      </c>
      <c r="C118" t="str">
        <f t="shared" si="21"/>
        <v>gm. Kietrz</v>
      </c>
      <c r="D118" t="str">
        <f t="shared" si="15"/>
        <v>głubczycki</v>
      </c>
      <c r="E118" t="str">
        <f t="shared" si="14"/>
        <v>opolskie</v>
      </c>
      <c r="F118">
        <v>7</v>
      </c>
      <c r="G118" t="str">
        <f>"Świetlica wiejska w Lubotyniu, Lubotyń 30, Lubotyń"</f>
        <v>Świetlica wiejska w Lubotyniu, Lubotyń 30, Lubotyń</v>
      </c>
      <c r="H118">
        <v>442</v>
      </c>
      <c r="I118">
        <v>476</v>
      </c>
      <c r="J118">
        <v>206</v>
      </c>
      <c r="K118">
        <v>0</v>
      </c>
      <c r="L118">
        <v>270</v>
      </c>
      <c r="M118">
        <v>206</v>
      </c>
      <c r="N118">
        <v>204</v>
      </c>
      <c r="O118">
        <v>2</v>
      </c>
      <c r="P118">
        <v>88</v>
      </c>
      <c r="Q118">
        <v>116</v>
      </c>
    </row>
    <row r="119" spans="1:17" ht="14.25">
      <c r="A119">
        <v>115</v>
      </c>
      <c r="B119" t="str">
        <f t="shared" si="20"/>
        <v>160204</v>
      </c>
      <c r="C119" t="str">
        <f t="shared" si="21"/>
        <v>gm. Kietrz</v>
      </c>
      <c r="D119" t="str">
        <f t="shared" si="15"/>
        <v>głubczycki</v>
      </c>
      <c r="E119" t="str">
        <f t="shared" si="14"/>
        <v>opolskie</v>
      </c>
      <c r="F119">
        <v>8</v>
      </c>
      <c r="G119" t="str">
        <f>"Szkoła Podstawowa w Pilszczu, ul. Owsiana 3, Pilszcz"</f>
        <v>Szkoła Podstawowa w Pilszczu, ul. Owsiana 3, Pilszcz</v>
      </c>
      <c r="H119">
        <v>601</v>
      </c>
      <c r="I119">
        <v>640</v>
      </c>
      <c r="J119">
        <v>283</v>
      </c>
      <c r="K119">
        <v>0</v>
      </c>
      <c r="L119">
        <v>357</v>
      </c>
      <c r="M119">
        <v>283</v>
      </c>
      <c r="N119">
        <v>280</v>
      </c>
      <c r="O119">
        <v>3</v>
      </c>
      <c r="P119">
        <v>110</v>
      </c>
      <c r="Q119">
        <v>170</v>
      </c>
    </row>
    <row r="120" spans="1:17" ht="14.25">
      <c r="A120">
        <v>116</v>
      </c>
      <c r="B120" t="str">
        <f t="shared" si="20"/>
        <v>160204</v>
      </c>
      <c r="C120" t="str">
        <f t="shared" si="21"/>
        <v>gm. Kietrz</v>
      </c>
      <c r="D120" t="str">
        <f t="shared" si="15"/>
        <v>głubczycki</v>
      </c>
      <c r="E120" t="str">
        <f t="shared" si="14"/>
        <v>opolskie</v>
      </c>
      <c r="F120">
        <v>9</v>
      </c>
      <c r="G120" t="str">
        <f>"Świetlica wiejska w Wojnowicach, ul. Okrężna 27, Wojnowice"</f>
        <v>Świetlica wiejska w Wojnowicach, ul. Okrężna 27, Wojnowice</v>
      </c>
      <c r="H120">
        <v>556</v>
      </c>
      <c r="I120">
        <v>580</v>
      </c>
      <c r="J120">
        <v>246</v>
      </c>
      <c r="K120">
        <v>0</v>
      </c>
      <c r="L120">
        <v>334</v>
      </c>
      <c r="M120">
        <v>246</v>
      </c>
      <c r="N120">
        <v>242</v>
      </c>
      <c r="O120">
        <v>4</v>
      </c>
      <c r="P120">
        <v>161</v>
      </c>
      <c r="Q120">
        <v>81</v>
      </c>
    </row>
    <row r="121" spans="1:17" ht="14.25">
      <c r="A121">
        <v>117</v>
      </c>
      <c r="B121" t="str">
        <f t="shared" si="20"/>
        <v>160204</v>
      </c>
      <c r="C121" t="str">
        <f t="shared" si="21"/>
        <v>gm. Kietrz</v>
      </c>
      <c r="D121" t="str">
        <f t="shared" si="15"/>
        <v>głubczycki</v>
      </c>
      <c r="E121" t="str">
        <f t="shared" si="14"/>
        <v>opolskie</v>
      </c>
      <c r="F121">
        <v>10</v>
      </c>
      <c r="G121" t="str">
        <f>"Szkoła Podstawowa w Ściborzycach Wielkich, Ściborzyce Wielkie 105, Ściborzyce Wielkie"</f>
        <v>Szkoła Podstawowa w Ściborzycach Wielkich, Ściborzyce Wielkie 105, Ściborzyce Wielkie</v>
      </c>
      <c r="H121">
        <v>624</v>
      </c>
      <c r="I121">
        <v>640</v>
      </c>
      <c r="J121">
        <v>217</v>
      </c>
      <c r="K121">
        <v>0</v>
      </c>
      <c r="L121">
        <v>423</v>
      </c>
      <c r="M121">
        <v>217</v>
      </c>
      <c r="N121">
        <v>212</v>
      </c>
      <c r="O121">
        <v>5</v>
      </c>
      <c r="P121">
        <v>108</v>
      </c>
      <c r="Q121">
        <v>104</v>
      </c>
    </row>
    <row r="122" spans="1:17" ht="14.25">
      <c r="A122">
        <v>118</v>
      </c>
      <c r="B122" t="str">
        <f aca="true" t="shared" si="22" ref="B122:B156">"160301"</f>
        <v>160301</v>
      </c>
      <c r="C122" t="str">
        <f aca="true" t="shared" si="23" ref="C122:C156">"m. Kędzierzyn-Koźle"</f>
        <v>m. Kędzierzyn-Koźle</v>
      </c>
      <c r="D122" t="str">
        <f aca="true" t="shared" si="24" ref="D122:D153">"kędzierzyńsko-kozielski"</f>
        <v>kędzierzyńsko-kozielski</v>
      </c>
      <c r="E122" t="str">
        <f t="shared" si="14"/>
        <v>opolskie</v>
      </c>
      <c r="F122">
        <v>1</v>
      </c>
      <c r="G122" t="str">
        <f>"Publiczna Szkoła Podstawowa Nr 13, ul. Stoczniowców 11"</f>
        <v>Publiczna Szkoła Podstawowa Nr 13, ul. Stoczniowców 11</v>
      </c>
      <c r="H122">
        <v>1005</v>
      </c>
      <c r="I122">
        <v>960</v>
      </c>
      <c r="J122">
        <v>417</v>
      </c>
      <c r="K122">
        <v>0</v>
      </c>
      <c r="L122">
        <v>543</v>
      </c>
      <c r="M122">
        <v>416</v>
      </c>
      <c r="N122">
        <v>414</v>
      </c>
      <c r="O122">
        <v>2</v>
      </c>
      <c r="P122">
        <v>101</v>
      </c>
      <c r="Q122">
        <v>313</v>
      </c>
    </row>
    <row r="123" spans="1:17" ht="14.25">
      <c r="A123">
        <v>119</v>
      </c>
      <c r="B123" t="str">
        <f t="shared" si="22"/>
        <v>160301</v>
      </c>
      <c r="C123" t="str">
        <f t="shared" si="23"/>
        <v>m. Kędzierzyn-Koźle</v>
      </c>
      <c r="D123" t="str">
        <f t="shared" si="24"/>
        <v>kędzierzyńsko-kozielski</v>
      </c>
      <c r="E123" t="str">
        <f t="shared" si="14"/>
        <v>opolskie</v>
      </c>
      <c r="F123">
        <v>2</v>
      </c>
      <c r="G123" t="str">
        <f>"Publiczna Szkoła Podstawowa Nr 20, ul. Archimedesa 25"</f>
        <v>Publiczna Szkoła Podstawowa Nr 20, ul. Archimedesa 25</v>
      </c>
      <c r="H123">
        <v>1399</v>
      </c>
      <c r="I123">
        <v>1385</v>
      </c>
      <c r="J123">
        <v>789</v>
      </c>
      <c r="K123">
        <v>0</v>
      </c>
      <c r="L123">
        <v>596</v>
      </c>
      <c r="M123">
        <v>789</v>
      </c>
      <c r="N123">
        <v>780</v>
      </c>
      <c r="O123">
        <v>9</v>
      </c>
      <c r="P123">
        <v>192</v>
      </c>
      <c r="Q123">
        <v>588</v>
      </c>
    </row>
    <row r="124" spans="1:17" ht="14.25">
      <c r="A124">
        <v>120</v>
      </c>
      <c r="B124" t="str">
        <f t="shared" si="22"/>
        <v>160301</v>
      </c>
      <c r="C124" t="str">
        <f t="shared" si="23"/>
        <v>m. Kędzierzyn-Koźle</v>
      </c>
      <c r="D124" t="str">
        <f t="shared" si="24"/>
        <v>kędzierzyńsko-kozielski</v>
      </c>
      <c r="E124" t="str">
        <f t="shared" si="14"/>
        <v>opolskie</v>
      </c>
      <c r="F124">
        <v>3</v>
      </c>
      <c r="G124" t="str">
        <f>"Publiczna Szkoła Podstawowa nr 12, ul. Piastowska 30"</f>
        <v>Publiczna Szkoła Podstawowa nr 12, ul. Piastowska 30</v>
      </c>
      <c r="H124">
        <v>1414</v>
      </c>
      <c r="I124">
        <v>1383</v>
      </c>
      <c r="J124">
        <v>834</v>
      </c>
      <c r="K124">
        <v>1</v>
      </c>
      <c r="L124">
        <v>549</v>
      </c>
      <c r="M124">
        <v>834</v>
      </c>
      <c r="N124">
        <v>827</v>
      </c>
      <c r="O124">
        <v>7</v>
      </c>
      <c r="P124">
        <v>193</v>
      </c>
      <c r="Q124">
        <v>634</v>
      </c>
    </row>
    <row r="125" spans="1:17" ht="14.25">
      <c r="A125">
        <v>121</v>
      </c>
      <c r="B125" t="str">
        <f t="shared" si="22"/>
        <v>160301</v>
      </c>
      <c r="C125" t="str">
        <f t="shared" si="23"/>
        <v>m. Kędzierzyn-Koźle</v>
      </c>
      <c r="D125" t="str">
        <f t="shared" si="24"/>
        <v>kędzierzyńsko-kozielski</v>
      </c>
      <c r="E125" t="str">
        <f t="shared" si="14"/>
        <v>opolskie</v>
      </c>
      <c r="F125">
        <v>4</v>
      </c>
      <c r="G125" t="str">
        <f>"Publiczna Szkoła Podstawowa nr 12, ul. Piastowska 30"</f>
        <v>Publiczna Szkoła Podstawowa nr 12, ul. Piastowska 30</v>
      </c>
      <c r="H125">
        <v>2018</v>
      </c>
      <c r="I125">
        <v>1920</v>
      </c>
      <c r="J125">
        <v>1129</v>
      </c>
      <c r="K125">
        <v>1</v>
      </c>
      <c r="L125">
        <v>791</v>
      </c>
      <c r="M125">
        <v>1129</v>
      </c>
      <c r="N125">
        <v>1118</v>
      </c>
      <c r="O125">
        <v>11</v>
      </c>
      <c r="P125">
        <v>290</v>
      </c>
      <c r="Q125">
        <v>828</v>
      </c>
    </row>
    <row r="126" spans="1:17" ht="14.25">
      <c r="A126">
        <v>122</v>
      </c>
      <c r="B126" t="str">
        <f t="shared" si="22"/>
        <v>160301</v>
      </c>
      <c r="C126" t="str">
        <f t="shared" si="23"/>
        <v>m. Kędzierzyn-Koźle</v>
      </c>
      <c r="D126" t="str">
        <f t="shared" si="24"/>
        <v>kędzierzyńsko-kozielski</v>
      </c>
      <c r="E126" t="str">
        <f t="shared" si="14"/>
        <v>opolskie</v>
      </c>
      <c r="F126">
        <v>5</v>
      </c>
      <c r="G126" t="str">
        <f>"Publiczne Gimnazjum Nr 1, ul. Grzegorza Piramowicza 30"</f>
        <v>Publiczne Gimnazjum Nr 1, ul. Grzegorza Piramowicza 30</v>
      </c>
      <c r="H126">
        <v>1496</v>
      </c>
      <c r="I126">
        <v>1430</v>
      </c>
      <c r="J126">
        <v>741</v>
      </c>
      <c r="K126">
        <v>0</v>
      </c>
      <c r="L126">
        <v>689</v>
      </c>
      <c r="M126">
        <v>741</v>
      </c>
      <c r="N126">
        <v>733</v>
      </c>
      <c r="O126">
        <v>8</v>
      </c>
      <c r="P126">
        <v>229</v>
      </c>
      <c r="Q126">
        <v>504</v>
      </c>
    </row>
    <row r="127" spans="1:17" ht="14.25">
      <c r="A127">
        <v>123</v>
      </c>
      <c r="B127" t="str">
        <f t="shared" si="22"/>
        <v>160301</v>
      </c>
      <c r="C127" t="str">
        <f t="shared" si="23"/>
        <v>m. Kędzierzyn-Koźle</v>
      </c>
      <c r="D127" t="str">
        <f t="shared" si="24"/>
        <v>kędzierzyńsko-kozielski</v>
      </c>
      <c r="E127" t="str">
        <f t="shared" si="14"/>
        <v>opolskie</v>
      </c>
      <c r="F127">
        <v>6</v>
      </c>
      <c r="G127" t="str">
        <f>"Zespół Szkół Zawodowych im. Powstańców Śląskich, ul. Skarbowa 2"</f>
        <v>Zespół Szkół Zawodowych im. Powstańców Śląskich, ul. Skarbowa 2</v>
      </c>
      <c r="H127">
        <v>2108</v>
      </c>
      <c r="I127">
        <v>2000</v>
      </c>
      <c r="J127">
        <v>1009</v>
      </c>
      <c r="K127">
        <v>1</v>
      </c>
      <c r="L127">
        <v>991</v>
      </c>
      <c r="M127">
        <v>1009</v>
      </c>
      <c r="N127">
        <v>1003</v>
      </c>
      <c r="O127">
        <v>6</v>
      </c>
      <c r="P127">
        <v>253</v>
      </c>
      <c r="Q127">
        <v>750</v>
      </c>
    </row>
    <row r="128" spans="1:17" ht="14.25">
      <c r="A128">
        <v>124</v>
      </c>
      <c r="B128" t="str">
        <f t="shared" si="22"/>
        <v>160301</v>
      </c>
      <c r="C128" t="str">
        <f t="shared" si="23"/>
        <v>m. Kędzierzyn-Koźle</v>
      </c>
      <c r="D128" t="str">
        <f t="shared" si="24"/>
        <v>kędzierzyńsko-kozielski</v>
      </c>
      <c r="E128" t="str">
        <f t="shared" si="14"/>
        <v>opolskie</v>
      </c>
      <c r="F128">
        <v>7</v>
      </c>
      <c r="G128" t="str">
        <f>"Zespół Szkół Specjalnych, ul. Ignacego Krasickiego 10"</f>
        <v>Zespół Szkół Specjalnych, ul. Ignacego Krasickiego 10</v>
      </c>
      <c r="H128">
        <v>1543</v>
      </c>
      <c r="I128">
        <v>1520</v>
      </c>
      <c r="J128">
        <v>773</v>
      </c>
      <c r="K128">
        <v>0</v>
      </c>
      <c r="L128">
        <v>747</v>
      </c>
      <c r="M128">
        <v>773</v>
      </c>
      <c r="N128">
        <v>762</v>
      </c>
      <c r="O128">
        <v>11</v>
      </c>
      <c r="P128">
        <v>179</v>
      </c>
      <c r="Q128">
        <v>583</v>
      </c>
    </row>
    <row r="129" spans="1:17" ht="14.25">
      <c r="A129">
        <v>125</v>
      </c>
      <c r="B129" t="str">
        <f t="shared" si="22"/>
        <v>160301</v>
      </c>
      <c r="C129" t="str">
        <f t="shared" si="23"/>
        <v>m. Kędzierzyn-Koźle</v>
      </c>
      <c r="D129" t="str">
        <f t="shared" si="24"/>
        <v>kędzierzyńsko-kozielski</v>
      </c>
      <c r="E129" t="str">
        <f t="shared" si="14"/>
        <v>opolskie</v>
      </c>
      <c r="F129">
        <v>8</v>
      </c>
      <c r="G129" t="str">
        <f>"Zespół Szkół Miejskich nr 2 (Publiczna Szkoła Podstawowa Nr 15), ul. Karola Szymanowskiego 19"</f>
        <v>Zespół Szkół Miejskich nr 2 (Publiczna Szkoła Podstawowa Nr 15), ul. Karola Szymanowskiego 19</v>
      </c>
      <c r="H129">
        <v>1780</v>
      </c>
      <c r="I129">
        <v>1680</v>
      </c>
      <c r="J129">
        <v>766</v>
      </c>
      <c r="K129">
        <v>0</v>
      </c>
      <c r="L129">
        <v>914</v>
      </c>
      <c r="M129">
        <v>765</v>
      </c>
      <c r="N129">
        <v>760</v>
      </c>
      <c r="O129">
        <v>5</v>
      </c>
      <c r="P129">
        <v>203</v>
      </c>
      <c r="Q129">
        <v>557</v>
      </c>
    </row>
    <row r="130" spans="1:17" ht="14.25">
      <c r="A130">
        <v>126</v>
      </c>
      <c r="B130" t="str">
        <f t="shared" si="22"/>
        <v>160301</v>
      </c>
      <c r="C130" t="str">
        <f t="shared" si="23"/>
        <v>m. Kędzierzyn-Koźle</v>
      </c>
      <c r="D130" t="str">
        <f t="shared" si="24"/>
        <v>kędzierzyńsko-kozielski</v>
      </c>
      <c r="E130" t="str">
        <f t="shared" si="14"/>
        <v>opolskie</v>
      </c>
      <c r="F130">
        <v>9</v>
      </c>
      <c r="G130" t="str">
        <f>"Publiczna Szkoła Podstawowa Nr 14, ul. Kozielska 16"</f>
        <v>Publiczna Szkoła Podstawowa Nr 14, ul. Kozielska 16</v>
      </c>
      <c r="H130">
        <v>2051</v>
      </c>
      <c r="I130">
        <v>1909</v>
      </c>
      <c r="J130">
        <v>1064</v>
      </c>
      <c r="K130">
        <v>0</v>
      </c>
      <c r="L130">
        <v>845</v>
      </c>
      <c r="M130">
        <v>1064</v>
      </c>
      <c r="N130">
        <v>1054</v>
      </c>
      <c r="O130">
        <v>10</v>
      </c>
      <c r="P130">
        <v>356</v>
      </c>
      <c r="Q130">
        <v>698</v>
      </c>
    </row>
    <row r="131" spans="1:17" ht="14.25">
      <c r="A131">
        <v>127</v>
      </c>
      <c r="B131" t="str">
        <f t="shared" si="22"/>
        <v>160301</v>
      </c>
      <c r="C131" t="str">
        <f t="shared" si="23"/>
        <v>m. Kędzierzyn-Koźle</v>
      </c>
      <c r="D131" t="str">
        <f t="shared" si="24"/>
        <v>kędzierzyńsko-kozielski</v>
      </c>
      <c r="E131" t="str">
        <f t="shared" si="14"/>
        <v>opolskie</v>
      </c>
      <c r="F131">
        <v>10</v>
      </c>
      <c r="G131" t="str">
        <f>"Publiczne Gimnazjum Nr 3, ul. Piotra Skargi 11"</f>
        <v>Publiczne Gimnazjum Nr 3, ul. Piotra Skargi 11</v>
      </c>
      <c r="H131">
        <v>2198</v>
      </c>
      <c r="I131">
        <v>2070</v>
      </c>
      <c r="J131">
        <v>1126</v>
      </c>
      <c r="K131">
        <v>0</v>
      </c>
      <c r="L131">
        <v>944</v>
      </c>
      <c r="M131">
        <v>1126</v>
      </c>
      <c r="N131">
        <v>1121</v>
      </c>
      <c r="O131">
        <v>5</v>
      </c>
      <c r="P131">
        <v>356</v>
      </c>
      <c r="Q131">
        <v>765</v>
      </c>
    </row>
    <row r="132" spans="1:17" ht="14.25">
      <c r="A132">
        <v>128</v>
      </c>
      <c r="B132" t="str">
        <f t="shared" si="22"/>
        <v>160301</v>
      </c>
      <c r="C132" t="str">
        <f t="shared" si="23"/>
        <v>m. Kędzierzyn-Koźle</v>
      </c>
      <c r="D132" t="str">
        <f t="shared" si="24"/>
        <v>kędzierzyńsko-kozielski</v>
      </c>
      <c r="E132" t="str">
        <f t="shared" si="14"/>
        <v>opolskie</v>
      </c>
      <c r="F132">
        <v>11</v>
      </c>
      <c r="G132" t="str">
        <f>"Publiczna Szkoła Podstawowa Nr 11, Aleja Partyzantów 30"</f>
        <v>Publiczna Szkoła Podstawowa Nr 11, Aleja Partyzantów 30</v>
      </c>
      <c r="H132">
        <v>1581</v>
      </c>
      <c r="I132">
        <v>1518</v>
      </c>
      <c r="J132">
        <v>844</v>
      </c>
      <c r="K132">
        <v>0</v>
      </c>
      <c r="L132">
        <v>674</v>
      </c>
      <c r="M132">
        <v>843</v>
      </c>
      <c r="N132">
        <v>839</v>
      </c>
      <c r="O132">
        <v>4</v>
      </c>
      <c r="P132">
        <v>259</v>
      </c>
      <c r="Q132">
        <v>580</v>
      </c>
    </row>
    <row r="133" spans="1:17" ht="14.25">
      <c r="A133">
        <v>129</v>
      </c>
      <c r="B133" t="str">
        <f t="shared" si="22"/>
        <v>160301</v>
      </c>
      <c r="C133" t="str">
        <f t="shared" si="23"/>
        <v>m. Kędzierzyn-Koźle</v>
      </c>
      <c r="D133" t="str">
        <f t="shared" si="24"/>
        <v>kędzierzyńsko-kozielski</v>
      </c>
      <c r="E133" t="str">
        <f aca="true" t="shared" si="25" ref="E133:E196">"opolskie"</f>
        <v>opolskie</v>
      </c>
      <c r="F133">
        <v>12</v>
      </c>
      <c r="G133" t="str">
        <f>"Publiczna Szkoła Podstawowa Nr 5, ul. Tadeusza Kościuszki 41"</f>
        <v>Publiczna Szkoła Podstawowa Nr 5, ul. Tadeusza Kościuszki 41</v>
      </c>
      <c r="H133">
        <v>2008</v>
      </c>
      <c r="I133">
        <v>1839</v>
      </c>
      <c r="J133">
        <v>987</v>
      </c>
      <c r="K133">
        <v>0</v>
      </c>
      <c r="L133">
        <v>852</v>
      </c>
      <c r="M133">
        <v>985</v>
      </c>
      <c r="N133">
        <v>966</v>
      </c>
      <c r="O133">
        <v>19</v>
      </c>
      <c r="P133">
        <v>256</v>
      </c>
      <c r="Q133">
        <v>710</v>
      </c>
    </row>
    <row r="134" spans="1:17" ht="14.25">
      <c r="A134">
        <v>130</v>
      </c>
      <c r="B134" t="str">
        <f t="shared" si="22"/>
        <v>160301</v>
      </c>
      <c r="C134" t="str">
        <f t="shared" si="23"/>
        <v>m. Kędzierzyn-Koźle</v>
      </c>
      <c r="D134" t="str">
        <f t="shared" si="24"/>
        <v>kędzierzyńsko-kozielski</v>
      </c>
      <c r="E134" t="str">
        <f t="shared" si="25"/>
        <v>opolskie</v>
      </c>
      <c r="F134">
        <v>13</v>
      </c>
      <c r="G134" t="str">
        <f>"Publiczne Przedszkole Nr 23, ul. Wierzbowa 4"</f>
        <v>Publiczne Przedszkole Nr 23, ul. Wierzbowa 4</v>
      </c>
      <c r="H134">
        <v>2035</v>
      </c>
      <c r="I134">
        <v>1919</v>
      </c>
      <c r="J134">
        <v>1222</v>
      </c>
      <c r="K134">
        <v>0</v>
      </c>
      <c r="L134">
        <v>697</v>
      </c>
      <c r="M134">
        <v>1222</v>
      </c>
      <c r="N134">
        <v>1205</v>
      </c>
      <c r="O134">
        <v>17</v>
      </c>
      <c r="P134">
        <v>387</v>
      </c>
      <c r="Q134">
        <v>818</v>
      </c>
    </row>
    <row r="135" spans="1:17" ht="14.25">
      <c r="A135">
        <v>131</v>
      </c>
      <c r="B135" t="str">
        <f t="shared" si="22"/>
        <v>160301</v>
      </c>
      <c r="C135" t="str">
        <f t="shared" si="23"/>
        <v>m. Kędzierzyn-Koźle</v>
      </c>
      <c r="D135" t="str">
        <f t="shared" si="24"/>
        <v>kędzierzyńsko-kozielski</v>
      </c>
      <c r="E135" t="str">
        <f t="shared" si="25"/>
        <v>opolskie</v>
      </c>
      <c r="F135">
        <v>14</v>
      </c>
      <c r="G135" t="s">
        <v>18</v>
      </c>
      <c r="H135">
        <v>912</v>
      </c>
      <c r="I135">
        <v>880</v>
      </c>
      <c r="J135">
        <v>577</v>
      </c>
      <c r="K135">
        <v>0</v>
      </c>
      <c r="L135">
        <v>303</v>
      </c>
      <c r="M135">
        <v>577</v>
      </c>
      <c r="N135">
        <v>574</v>
      </c>
      <c r="O135">
        <v>3</v>
      </c>
      <c r="P135">
        <v>135</v>
      </c>
      <c r="Q135">
        <v>439</v>
      </c>
    </row>
    <row r="136" spans="1:17" ht="14.25">
      <c r="A136">
        <v>132</v>
      </c>
      <c r="B136" t="str">
        <f t="shared" si="22"/>
        <v>160301</v>
      </c>
      <c r="C136" t="str">
        <f t="shared" si="23"/>
        <v>m. Kędzierzyn-Koźle</v>
      </c>
      <c r="D136" t="str">
        <f t="shared" si="24"/>
        <v>kędzierzyńsko-kozielski</v>
      </c>
      <c r="E136" t="str">
        <f t="shared" si="25"/>
        <v>opolskie</v>
      </c>
      <c r="F136">
        <v>15</v>
      </c>
      <c r="G136" t="str">
        <f>"II Liceum Ogólnokształcące, ul. Jana Matejki 19"</f>
        <v>II Liceum Ogólnokształcące, ul. Jana Matejki 19</v>
      </c>
      <c r="H136">
        <v>1824</v>
      </c>
      <c r="I136">
        <v>1680</v>
      </c>
      <c r="J136">
        <v>846</v>
      </c>
      <c r="K136">
        <v>0</v>
      </c>
      <c r="L136">
        <v>834</v>
      </c>
      <c r="M136">
        <v>845</v>
      </c>
      <c r="N136">
        <v>836</v>
      </c>
      <c r="O136">
        <v>9</v>
      </c>
      <c r="P136">
        <v>279</v>
      </c>
      <c r="Q136">
        <v>557</v>
      </c>
    </row>
    <row r="137" spans="1:17" ht="14.25">
      <c r="A137">
        <v>133</v>
      </c>
      <c r="B137" t="str">
        <f t="shared" si="22"/>
        <v>160301</v>
      </c>
      <c r="C137" t="str">
        <f t="shared" si="23"/>
        <v>m. Kędzierzyn-Koźle</v>
      </c>
      <c r="D137" t="str">
        <f t="shared" si="24"/>
        <v>kędzierzyńsko-kozielski</v>
      </c>
      <c r="E137" t="str">
        <f t="shared" si="25"/>
        <v>opolskie</v>
      </c>
      <c r="F137">
        <v>16</v>
      </c>
      <c r="G137" t="str">
        <f>"Publiczne Gimnazjum Nr 4, ul. 1 Maja 3"</f>
        <v>Publiczne Gimnazjum Nr 4, ul. 1 Maja 3</v>
      </c>
      <c r="H137">
        <v>2024</v>
      </c>
      <c r="I137">
        <v>1920</v>
      </c>
      <c r="J137">
        <v>1146</v>
      </c>
      <c r="K137">
        <v>0</v>
      </c>
      <c r="L137">
        <v>774</v>
      </c>
      <c r="M137">
        <v>1146</v>
      </c>
      <c r="N137">
        <v>1135</v>
      </c>
      <c r="O137">
        <v>11</v>
      </c>
      <c r="P137">
        <v>354</v>
      </c>
      <c r="Q137">
        <v>781</v>
      </c>
    </row>
    <row r="138" spans="1:17" ht="14.25">
      <c r="A138">
        <v>134</v>
      </c>
      <c r="B138" t="str">
        <f t="shared" si="22"/>
        <v>160301</v>
      </c>
      <c r="C138" t="str">
        <f t="shared" si="23"/>
        <v>m. Kędzierzyn-Koźle</v>
      </c>
      <c r="D138" t="str">
        <f t="shared" si="24"/>
        <v>kędzierzyńsko-kozielski</v>
      </c>
      <c r="E138" t="str">
        <f t="shared" si="25"/>
        <v>opolskie</v>
      </c>
      <c r="F138">
        <v>17</v>
      </c>
      <c r="G138" t="s">
        <v>19</v>
      </c>
      <c r="H138">
        <v>2151</v>
      </c>
      <c r="I138">
        <v>1999</v>
      </c>
      <c r="J138">
        <v>1215</v>
      </c>
      <c r="K138">
        <v>0</v>
      </c>
      <c r="L138">
        <v>784</v>
      </c>
      <c r="M138">
        <v>1215</v>
      </c>
      <c r="N138">
        <v>1198</v>
      </c>
      <c r="O138">
        <v>17</v>
      </c>
      <c r="P138">
        <v>360</v>
      </c>
      <c r="Q138">
        <v>838</v>
      </c>
    </row>
    <row r="139" spans="1:17" ht="14.25">
      <c r="A139">
        <v>135</v>
      </c>
      <c r="B139" t="str">
        <f t="shared" si="22"/>
        <v>160301</v>
      </c>
      <c r="C139" t="str">
        <f t="shared" si="23"/>
        <v>m. Kędzierzyn-Koźle</v>
      </c>
      <c r="D139" t="str">
        <f t="shared" si="24"/>
        <v>kędzierzyńsko-kozielski</v>
      </c>
      <c r="E139" t="str">
        <f t="shared" si="25"/>
        <v>opolskie</v>
      </c>
      <c r="F139">
        <v>18</v>
      </c>
      <c r="G139" t="str">
        <f>"Publiczna Szkoła Podstawowa Nr 6, ul. Pawła Stalmacha 20"</f>
        <v>Publiczna Szkoła Podstawowa Nr 6, ul. Pawła Stalmacha 20</v>
      </c>
      <c r="H139">
        <v>1964</v>
      </c>
      <c r="I139">
        <v>1840</v>
      </c>
      <c r="J139">
        <v>1100</v>
      </c>
      <c r="K139">
        <v>0</v>
      </c>
      <c r="L139">
        <v>740</v>
      </c>
      <c r="M139">
        <v>1100</v>
      </c>
      <c r="N139">
        <v>1091</v>
      </c>
      <c r="O139">
        <v>9</v>
      </c>
      <c r="P139">
        <v>305</v>
      </c>
      <c r="Q139">
        <v>786</v>
      </c>
    </row>
    <row r="140" spans="1:17" ht="14.25">
      <c r="A140">
        <v>136</v>
      </c>
      <c r="B140" t="str">
        <f t="shared" si="22"/>
        <v>160301</v>
      </c>
      <c r="C140" t="str">
        <f t="shared" si="23"/>
        <v>m. Kędzierzyn-Koźle</v>
      </c>
      <c r="D140" t="str">
        <f t="shared" si="24"/>
        <v>kędzierzyńsko-kozielski</v>
      </c>
      <c r="E140" t="str">
        <f t="shared" si="25"/>
        <v>opolskie</v>
      </c>
      <c r="F140">
        <v>19</v>
      </c>
      <c r="G140" t="str">
        <f>"Publiczna Szkoła Podstawowa Nr 9, ul. Jurija Gagarina 3"</f>
        <v>Publiczna Szkoła Podstawowa Nr 9, ul. Jurija Gagarina 3</v>
      </c>
      <c r="H140">
        <v>1289</v>
      </c>
      <c r="I140">
        <v>1270</v>
      </c>
      <c r="J140">
        <v>753</v>
      </c>
      <c r="K140">
        <v>0</v>
      </c>
      <c r="L140">
        <v>517</v>
      </c>
      <c r="M140">
        <v>752</v>
      </c>
      <c r="N140">
        <v>740</v>
      </c>
      <c r="O140">
        <v>12</v>
      </c>
      <c r="P140">
        <v>243</v>
      </c>
      <c r="Q140">
        <v>497</v>
      </c>
    </row>
    <row r="141" spans="1:17" ht="14.25">
      <c r="A141">
        <v>137</v>
      </c>
      <c r="B141" t="str">
        <f t="shared" si="22"/>
        <v>160301</v>
      </c>
      <c r="C141" t="str">
        <f t="shared" si="23"/>
        <v>m. Kędzierzyn-Koźle</v>
      </c>
      <c r="D141" t="str">
        <f t="shared" si="24"/>
        <v>kędzierzyńsko-kozielski</v>
      </c>
      <c r="E141" t="str">
        <f t="shared" si="25"/>
        <v>opolskie</v>
      </c>
      <c r="F141">
        <v>20</v>
      </c>
      <c r="G141" t="str">
        <f>"Publiczne Przedszkole Nr 22, ul. 9 Maja 4"</f>
        <v>Publiczne Przedszkole Nr 22, ul. 9 Maja 4</v>
      </c>
      <c r="H141">
        <v>1757</v>
      </c>
      <c r="I141">
        <v>1680</v>
      </c>
      <c r="J141">
        <v>1027</v>
      </c>
      <c r="K141">
        <v>0</v>
      </c>
      <c r="L141">
        <v>653</v>
      </c>
      <c r="M141">
        <v>1027</v>
      </c>
      <c r="N141">
        <v>1009</v>
      </c>
      <c r="O141">
        <v>18</v>
      </c>
      <c r="P141">
        <v>328</v>
      </c>
      <c r="Q141">
        <v>681</v>
      </c>
    </row>
    <row r="142" spans="1:17" ht="14.25">
      <c r="A142">
        <v>138</v>
      </c>
      <c r="B142" t="str">
        <f t="shared" si="22"/>
        <v>160301</v>
      </c>
      <c r="C142" t="str">
        <f t="shared" si="23"/>
        <v>m. Kędzierzyn-Koźle</v>
      </c>
      <c r="D142" t="str">
        <f t="shared" si="24"/>
        <v>kędzierzyńsko-kozielski</v>
      </c>
      <c r="E142" t="str">
        <f t="shared" si="25"/>
        <v>opolskie</v>
      </c>
      <c r="F142">
        <v>21</v>
      </c>
      <c r="G142" t="str">
        <f>"Publiczne Przedszkole Nr 24, ul. Leszka Białego 7"</f>
        <v>Publiczne Przedszkole Nr 24, ul. Leszka Białego 7</v>
      </c>
      <c r="H142">
        <v>1746</v>
      </c>
      <c r="I142">
        <v>1680</v>
      </c>
      <c r="J142">
        <v>1005</v>
      </c>
      <c r="K142">
        <v>0</v>
      </c>
      <c r="L142">
        <v>675</v>
      </c>
      <c r="M142">
        <v>1004</v>
      </c>
      <c r="N142">
        <v>989</v>
      </c>
      <c r="O142">
        <v>15</v>
      </c>
      <c r="P142">
        <v>344</v>
      </c>
      <c r="Q142">
        <v>645</v>
      </c>
    </row>
    <row r="143" spans="1:17" ht="14.25">
      <c r="A143">
        <v>139</v>
      </c>
      <c r="B143" t="str">
        <f t="shared" si="22"/>
        <v>160301</v>
      </c>
      <c r="C143" t="str">
        <f t="shared" si="23"/>
        <v>m. Kędzierzyn-Koźle</v>
      </c>
      <c r="D143" t="str">
        <f t="shared" si="24"/>
        <v>kędzierzyńsko-kozielski</v>
      </c>
      <c r="E143" t="str">
        <f t="shared" si="25"/>
        <v>opolskie</v>
      </c>
      <c r="F143">
        <v>22</v>
      </c>
      <c r="G143" t="str">
        <f>"Publiczne Przedszkole Nr 26, ul. Bolesława Śmiałego 5"</f>
        <v>Publiczne Przedszkole Nr 26, ul. Bolesława Śmiałego 5</v>
      </c>
      <c r="H143">
        <v>1893</v>
      </c>
      <c r="I143">
        <v>1757</v>
      </c>
      <c r="J143">
        <v>1014</v>
      </c>
      <c r="K143">
        <v>1</v>
      </c>
      <c r="L143">
        <v>743</v>
      </c>
      <c r="M143">
        <v>1014</v>
      </c>
      <c r="N143">
        <v>1002</v>
      </c>
      <c r="O143">
        <v>12</v>
      </c>
      <c r="P143">
        <v>365</v>
      </c>
      <c r="Q143">
        <v>637</v>
      </c>
    </row>
    <row r="144" spans="1:17" ht="14.25">
      <c r="A144">
        <v>140</v>
      </c>
      <c r="B144" t="str">
        <f t="shared" si="22"/>
        <v>160301</v>
      </c>
      <c r="C144" t="str">
        <f t="shared" si="23"/>
        <v>m. Kędzierzyn-Koźle</v>
      </c>
      <c r="D144" t="str">
        <f t="shared" si="24"/>
        <v>kędzierzyńsko-kozielski</v>
      </c>
      <c r="E144" t="str">
        <f t="shared" si="25"/>
        <v>opolskie</v>
      </c>
      <c r="F144">
        <v>23</v>
      </c>
      <c r="G144" t="str">
        <f>"Zespół Szkół Miejskich nr 1 (Publiczna Szkoła Podstawowa Nr 19), ul. Mieszka I 4"</f>
        <v>Zespół Szkół Miejskich nr 1 (Publiczna Szkoła Podstawowa Nr 19), ul. Mieszka I 4</v>
      </c>
      <c r="H144">
        <v>1834</v>
      </c>
      <c r="I144">
        <v>1760</v>
      </c>
      <c r="J144">
        <v>1096</v>
      </c>
      <c r="K144">
        <v>0</v>
      </c>
      <c r="L144">
        <v>664</v>
      </c>
      <c r="M144">
        <v>1096</v>
      </c>
      <c r="N144">
        <v>1085</v>
      </c>
      <c r="O144">
        <v>11</v>
      </c>
      <c r="P144">
        <v>417</v>
      </c>
      <c r="Q144">
        <v>668</v>
      </c>
    </row>
    <row r="145" spans="1:17" ht="14.25">
      <c r="A145">
        <v>141</v>
      </c>
      <c r="B145" t="str">
        <f t="shared" si="22"/>
        <v>160301</v>
      </c>
      <c r="C145" t="str">
        <f t="shared" si="23"/>
        <v>m. Kędzierzyn-Koźle</v>
      </c>
      <c r="D145" t="str">
        <f t="shared" si="24"/>
        <v>kędzierzyńsko-kozielski</v>
      </c>
      <c r="E145" t="str">
        <f t="shared" si="25"/>
        <v>opolskie</v>
      </c>
      <c r="F145">
        <v>24</v>
      </c>
      <c r="G145" t="s">
        <v>20</v>
      </c>
      <c r="H145">
        <v>2078</v>
      </c>
      <c r="I145">
        <v>1918</v>
      </c>
      <c r="J145">
        <v>1289</v>
      </c>
      <c r="K145">
        <v>0</v>
      </c>
      <c r="L145">
        <v>629</v>
      </c>
      <c r="M145">
        <v>1289</v>
      </c>
      <c r="N145">
        <v>1258</v>
      </c>
      <c r="O145">
        <v>31</v>
      </c>
      <c r="P145">
        <v>406</v>
      </c>
      <c r="Q145">
        <v>852</v>
      </c>
    </row>
    <row r="146" spans="1:17" ht="14.25">
      <c r="A146">
        <v>142</v>
      </c>
      <c r="B146" t="str">
        <f t="shared" si="22"/>
        <v>160301</v>
      </c>
      <c r="C146" t="str">
        <f t="shared" si="23"/>
        <v>m. Kędzierzyn-Koźle</v>
      </c>
      <c r="D146" t="str">
        <f t="shared" si="24"/>
        <v>kędzierzyńsko-kozielski</v>
      </c>
      <c r="E146" t="str">
        <f t="shared" si="25"/>
        <v>opolskie</v>
      </c>
      <c r="F146">
        <v>25</v>
      </c>
      <c r="G146" t="str">
        <f>"Zespół Szkół Miejskich nr 5 (Publiczna Szkoła Podstawowa Nr 3), ul. Przodowników Pracy 14"</f>
        <v>Zespół Szkół Miejskich nr 5 (Publiczna Szkoła Podstawowa Nr 3), ul. Przodowników Pracy 14</v>
      </c>
      <c r="H146">
        <v>1567</v>
      </c>
      <c r="I146">
        <v>1440</v>
      </c>
      <c r="J146">
        <v>746</v>
      </c>
      <c r="K146">
        <v>1</v>
      </c>
      <c r="L146">
        <v>694</v>
      </c>
      <c r="M146">
        <v>746</v>
      </c>
      <c r="N146">
        <v>732</v>
      </c>
      <c r="O146">
        <v>14</v>
      </c>
      <c r="P146">
        <v>195</v>
      </c>
      <c r="Q146">
        <v>537</v>
      </c>
    </row>
    <row r="147" spans="1:17" ht="14.25">
      <c r="A147">
        <v>143</v>
      </c>
      <c r="B147" t="str">
        <f t="shared" si="22"/>
        <v>160301</v>
      </c>
      <c r="C147" t="str">
        <f t="shared" si="23"/>
        <v>m. Kędzierzyn-Koźle</v>
      </c>
      <c r="D147" t="str">
        <f t="shared" si="24"/>
        <v>kędzierzyńsko-kozielski</v>
      </c>
      <c r="E147" t="str">
        <f t="shared" si="25"/>
        <v>opolskie</v>
      </c>
      <c r="F147">
        <v>26</v>
      </c>
      <c r="G147" t="s">
        <v>21</v>
      </c>
      <c r="H147">
        <v>2170</v>
      </c>
      <c r="I147">
        <v>2000</v>
      </c>
      <c r="J147">
        <v>1001</v>
      </c>
      <c r="K147">
        <v>0</v>
      </c>
      <c r="L147">
        <v>999</v>
      </c>
      <c r="M147">
        <v>1001</v>
      </c>
      <c r="N147">
        <v>996</v>
      </c>
      <c r="O147">
        <v>5</v>
      </c>
      <c r="P147">
        <v>253</v>
      </c>
      <c r="Q147">
        <v>743</v>
      </c>
    </row>
    <row r="148" spans="1:17" ht="14.25">
      <c r="A148">
        <v>144</v>
      </c>
      <c r="B148" t="str">
        <f t="shared" si="22"/>
        <v>160301</v>
      </c>
      <c r="C148" t="str">
        <f t="shared" si="23"/>
        <v>m. Kędzierzyn-Koźle</v>
      </c>
      <c r="D148" t="str">
        <f t="shared" si="24"/>
        <v>kędzierzyńsko-kozielski</v>
      </c>
      <c r="E148" t="str">
        <f t="shared" si="25"/>
        <v>opolskie</v>
      </c>
      <c r="F148">
        <v>27</v>
      </c>
      <c r="G148" t="str">
        <f>"Zespół Szkół Miejskich nr 3 (Publiczna Szkoła Podstawowa Nr 10), ul. Szkolna 3"</f>
        <v>Zespół Szkół Miejskich nr 3 (Publiczna Szkoła Podstawowa Nr 10), ul. Szkolna 3</v>
      </c>
      <c r="H148">
        <v>441</v>
      </c>
      <c r="I148">
        <v>476</v>
      </c>
      <c r="J148">
        <v>164</v>
      </c>
      <c r="K148">
        <v>0</v>
      </c>
      <c r="L148">
        <v>312</v>
      </c>
      <c r="M148">
        <v>164</v>
      </c>
      <c r="N148">
        <v>164</v>
      </c>
      <c r="O148">
        <v>0</v>
      </c>
      <c r="P148">
        <v>43</v>
      </c>
      <c r="Q148">
        <v>121</v>
      </c>
    </row>
    <row r="149" spans="1:17" ht="14.25">
      <c r="A149">
        <v>145</v>
      </c>
      <c r="B149" t="str">
        <f t="shared" si="22"/>
        <v>160301</v>
      </c>
      <c r="C149" t="str">
        <f t="shared" si="23"/>
        <v>m. Kędzierzyn-Koźle</v>
      </c>
      <c r="D149" t="str">
        <f t="shared" si="24"/>
        <v>kędzierzyńsko-kozielski</v>
      </c>
      <c r="E149" t="str">
        <f t="shared" si="25"/>
        <v>opolskie</v>
      </c>
      <c r="F149">
        <v>28</v>
      </c>
      <c r="G149" t="str">
        <f>"Zespół Szkół Miejskich nr 1 (Środowiskowy Hufiec Pracy), ul. Nowowiejska 8"</f>
        <v>Zespół Szkół Miejskich nr 1 (Środowiskowy Hufiec Pracy), ul. Nowowiejska 8</v>
      </c>
      <c r="H149">
        <v>310</v>
      </c>
      <c r="I149">
        <v>320</v>
      </c>
      <c r="J149">
        <v>125</v>
      </c>
      <c r="K149">
        <v>0</v>
      </c>
      <c r="L149">
        <v>195</v>
      </c>
      <c r="M149">
        <v>125</v>
      </c>
      <c r="N149">
        <v>124</v>
      </c>
      <c r="O149">
        <v>1</v>
      </c>
      <c r="P149">
        <v>51</v>
      </c>
      <c r="Q149">
        <v>73</v>
      </c>
    </row>
    <row r="150" spans="1:17" ht="14.25">
      <c r="A150">
        <v>146</v>
      </c>
      <c r="B150" t="str">
        <f t="shared" si="22"/>
        <v>160301</v>
      </c>
      <c r="C150" t="str">
        <f t="shared" si="23"/>
        <v>m. Kędzierzyn-Koźle</v>
      </c>
      <c r="D150" t="str">
        <f t="shared" si="24"/>
        <v>kędzierzyńsko-kozielski</v>
      </c>
      <c r="E150" t="str">
        <f t="shared" si="25"/>
        <v>opolskie</v>
      </c>
      <c r="F150">
        <v>29</v>
      </c>
      <c r="G150" t="str">
        <f>"Publiczna Szkoła Podstawowa Nr 18, ul. Jana Brzechwy 80"</f>
        <v>Publiczna Szkoła Podstawowa Nr 18, ul. Jana Brzechwy 80</v>
      </c>
      <c r="H150">
        <v>1437</v>
      </c>
      <c r="I150">
        <v>1380</v>
      </c>
      <c r="J150">
        <v>550</v>
      </c>
      <c r="K150">
        <v>2</v>
      </c>
      <c r="L150">
        <v>830</v>
      </c>
      <c r="M150">
        <v>549</v>
      </c>
      <c r="N150">
        <v>546</v>
      </c>
      <c r="O150">
        <v>3</v>
      </c>
      <c r="P150">
        <v>178</v>
      </c>
      <c r="Q150">
        <v>368</v>
      </c>
    </row>
    <row r="151" spans="1:17" ht="14.25">
      <c r="A151">
        <v>147</v>
      </c>
      <c r="B151" t="str">
        <f t="shared" si="22"/>
        <v>160301</v>
      </c>
      <c r="C151" t="str">
        <f t="shared" si="23"/>
        <v>m. Kędzierzyn-Koźle</v>
      </c>
      <c r="D151" t="str">
        <f t="shared" si="24"/>
        <v>kędzierzyńsko-kozielski</v>
      </c>
      <c r="E151" t="str">
        <f t="shared" si="25"/>
        <v>opolskie</v>
      </c>
      <c r="F151">
        <v>30</v>
      </c>
      <c r="G151" t="str">
        <f>"Strażnica Ochotniczej Straży Pożarnej Miejsce Kłodnickie, ul. Szpaków 11"</f>
        <v>Strażnica Ochotniczej Straży Pożarnej Miejsce Kłodnickie, ul. Szpaków 11</v>
      </c>
      <c r="H151">
        <v>299</v>
      </c>
      <c r="I151">
        <v>319</v>
      </c>
      <c r="J151">
        <v>113</v>
      </c>
      <c r="K151">
        <v>0</v>
      </c>
      <c r="L151">
        <v>206</v>
      </c>
      <c r="M151">
        <v>113</v>
      </c>
      <c r="N151">
        <v>113</v>
      </c>
      <c r="O151">
        <v>0</v>
      </c>
      <c r="P151">
        <v>33</v>
      </c>
      <c r="Q151">
        <v>80</v>
      </c>
    </row>
    <row r="152" spans="1:17" ht="14.25">
      <c r="A152">
        <v>148</v>
      </c>
      <c r="B152" t="str">
        <f t="shared" si="22"/>
        <v>160301</v>
      </c>
      <c r="C152" t="str">
        <f t="shared" si="23"/>
        <v>m. Kędzierzyn-Koźle</v>
      </c>
      <c r="D152" t="str">
        <f t="shared" si="24"/>
        <v>kędzierzyńsko-kozielski</v>
      </c>
      <c r="E152" t="str">
        <f t="shared" si="25"/>
        <v>opolskie</v>
      </c>
      <c r="F152">
        <v>31</v>
      </c>
      <c r="G152" t="str">
        <f>"Zespół Szkół Miejskich nr 4 (Publiczna Szkoła Podstawowa Nr 16), ul. Sławięcicka 96"</f>
        <v>Zespół Szkół Miejskich nr 4 (Publiczna Szkoła Podstawowa Nr 16), ul. Sławięcicka 96</v>
      </c>
      <c r="H152">
        <v>2159</v>
      </c>
      <c r="I152">
        <v>2076</v>
      </c>
      <c r="J152">
        <v>855</v>
      </c>
      <c r="K152">
        <v>0</v>
      </c>
      <c r="L152">
        <v>1221</v>
      </c>
      <c r="M152">
        <v>854</v>
      </c>
      <c r="N152">
        <v>849</v>
      </c>
      <c r="O152">
        <v>5</v>
      </c>
      <c r="P152">
        <v>245</v>
      </c>
      <c r="Q152">
        <v>604</v>
      </c>
    </row>
    <row r="153" spans="1:17" ht="14.25">
      <c r="A153">
        <v>149</v>
      </c>
      <c r="B153" t="str">
        <f t="shared" si="22"/>
        <v>160301</v>
      </c>
      <c r="C153" t="str">
        <f t="shared" si="23"/>
        <v>m. Kędzierzyn-Koźle</v>
      </c>
      <c r="D153" t="str">
        <f t="shared" si="24"/>
        <v>kędzierzyńsko-kozielski</v>
      </c>
      <c r="E153" t="str">
        <f t="shared" si="25"/>
        <v>opolskie</v>
      </c>
      <c r="F153">
        <v>32</v>
      </c>
      <c r="G153" t="str">
        <f>"Szpital Zespolony, ul. Doktora Judyma 4"</f>
        <v>Szpital Zespolony, ul. Doktora Judyma 4</v>
      </c>
      <c r="H153">
        <v>148</v>
      </c>
      <c r="I153">
        <v>98</v>
      </c>
      <c r="J153">
        <v>41</v>
      </c>
      <c r="K153">
        <v>0</v>
      </c>
      <c r="L153">
        <v>57</v>
      </c>
      <c r="M153">
        <v>41</v>
      </c>
      <c r="N153">
        <v>40</v>
      </c>
      <c r="O153">
        <v>1</v>
      </c>
      <c r="P153">
        <v>19</v>
      </c>
      <c r="Q153">
        <v>21</v>
      </c>
    </row>
    <row r="154" spans="1:17" ht="14.25">
      <c r="A154">
        <v>150</v>
      </c>
      <c r="B154" t="str">
        <f t="shared" si="22"/>
        <v>160301</v>
      </c>
      <c r="C154" t="str">
        <f t="shared" si="23"/>
        <v>m. Kędzierzyn-Koźle</v>
      </c>
      <c r="D154" t="str">
        <f aca="true" t="shared" si="26" ref="D154:D180">"kędzierzyńsko-kozielski"</f>
        <v>kędzierzyńsko-kozielski</v>
      </c>
      <c r="E154" t="str">
        <f t="shared" si="25"/>
        <v>opolskie</v>
      </c>
      <c r="F154">
        <v>33</v>
      </c>
      <c r="G154" t="str">
        <f>"Szpital Zespolony, ul. Franklina Delano Roosevelta 2"</f>
        <v>Szpital Zespolony, ul. Franklina Delano Roosevelta 2</v>
      </c>
      <c r="H154">
        <v>215</v>
      </c>
      <c r="I154">
        <v>98</v>
      </c>
      <c r="J154">
        <v>67</v>
      </c>
      <c r="K154">
        <v>0</v>
      </c>
      <c r="L154">
        <v>31</v>
      </c>
      <c r="M154">
        <v>67</v>
      </c>
      <c r="N154">
        <v>65</v>
      </c>
      <c r="O154">
        <v>2</v>
      </c>
      <c r="P154">
        <v>14</v>
      </c>
      <c r="Q154">
        <v>51</v>
      </c>
    </row>
    <row r="155" spans="1:17" ht="14.25">
      <c r="A155">
        <v>151</v>
      </c>
      <c r="B155" t="str">
        <f t="shared" si="22"/>
        <v>160301</v>
      </c>
      <c r="C155" t="str">
        <f t="shared" si="23"/>
        <v>m. Kędzierzyn-Koźle</v>
      </c>
      <c r="D155" t="str">
        <f t="shared" si="26"/>
        <v>kędzierzyńsko-kozielski</v>
      </c>
      <c r="E155" t="str">
        <f t="shared" si="25"/>
        <v>opolskie</v>
      </c>
      <c r="F155">
        <v>34</v>
      </c>
      <c r="G155" t="str">
        <f>"Dom Pomocy Spolecznej, ul. Dąbrowszczaków 1"</f>
        <v>Dom Pomocy Spolecznej, ul. Dąbrowszczaków 1</v>
      </c>
      <c r="H155">
        <v>49</v>
      </c>
      <c r="I155">
        <v>100</v>
      </c>
      <c r="J155">
        <v>49</v>
      </c>
      <c r="K155">
        <v>0</v>
      </c>
      <c r="L155">
        <v>51</v>
      </c>
      <c r="M155">
        <v>49</v>
      </c>
      <c r="N155">
        <v>40</v>
      </c>
      <c r="O155">
        <v>9</v>
      </c>
      <c r="P155">
        <v>20</v>
      </c>
      <c r="Q155">
        <v>20</v>
      </c>
    </row>
    <row r="156" spans="1:17" ht="14.25">
      <c r="A156">
        <v>152</v>
      </c>
      <c r="B156" t="str">
        <f t="shared" si="22"/>
        <v>160301</v>
      </c>
      <c r="C156" t="str">
        <f t="shared" si="23"/>
        <v>m. Kędzierzyn-Koźle</v>
      </c>
      <c r="D156" t="str">
        <f t="shared" si="26"/>
        <v>kędzierzyńsko-kozielski</v>
      </c>
      <c r="E156" t="str">
        <f t="shared" si="25"/>
        <v>opolskie</v>
      </c>
      <c r="F156">
        <v>35</v>
      </c>
      <c r="G156" t="str">
        <f>"Areszt Śledczy, ul. Racławicka 10"</f>
        <v>Areszt Śledczy, ul. Racławicka 10</v>
      </c>
      <c r="H156">
        <v>130</v>
      </c>
      <c r="I156">
        <v>151</v>
      </c>
      <c r="J156">
        <v>94</v>
      </c>
      <c r="K156">
        <v>0</v>
      </c>
      <c r="L156">
        <v>57</v>
      </c>
      <c r="M156">
        <v>94</v>
      </c>
      <c r="N156">
        <v>91</v>
      </c>
      <c r="O156">
        <v>3</v>
      </c>
      <c r="P156">
        <v>7</v>
      </c>
      <c r="Q156">
        <v>84</v>
      </c>
    </row>
    <row r="157" spans="1:17" ht="14.25">
      <c r="A157">
        <v>153</v>
      </c>
      <c r="B157" t="str">
        <f>"160302"</f>
        <v>160302</v>
      </c>
      <c r="C157" t="str">
        <f>"gm. Bierawa"</f>
        <v>gm. Bierawa</v>
      </c>
      <c r="D157" t="str">
        <f t="shared" si="26"/>
        <v>kędzierzyńsko-kozielski</v>
      </c>
      <c r="E157" t="str">
        <f t="shared" si="25"/>
        <v>opolskie</v>
      </c>
      <c r="F157">
        <v>1</v>
      </c>
      <c r="G157" t="str">
        <f>"Szkoła Podstawowa, ul. Szkolna 5, Stare Koźle"</f>
        <v>Szkoła Podstawowa, ul. Szkolna 5, Stare Koźle</v>
      </c>
      <c r="H157">
        <v>1142</v>
      </c>
      <c r="I157">
        <v>1040</v>
      </c>
      <c r="J157">
        <v>429</v>
      </c>
      <c r="K157">
        <v>0</v>
      </c>
      <c r="L157">
        <v>611</v>
      </c>
      <c r="M157">
        <v>429</v>
      </c>
      <c r="N157">
        <v>426</v>
      </c>
      <c r="O157">
        <v>3</v>
      </c>
      <c r="P157">
        <v>121</v>
      </c>
      <c r="Q157">
        <v>305</v>
      </c>
    </row>
    <row r="158" spans="1:17" ht="14.25">
      <c r="A158">
        <v>154</v>
      </c>
      <c r="B158" t="str">
        <f>"160302"</f>
        <v>160302</v>
      </c>
      <c r="C158" t="str">
        <f>"gm. Bierawa"</f>
        <v>gm. Bierawa</v>
      </c>
      <c r="D158" t="str">
        <f t="shared" si="26"/>
        <v>kędzierzyńsko-kozielski</v>
      </c>
      <c r="E158" t="str">
        <f t="shared" si="25"/>
        <v>opolskie</v>
      </c>
      <c r="F158">
        <v>2</v>
      </c>
      <c r="G158" t="str">
        <f>"Publiczne Gimnazjum, ul. Kościelna 1, Bierawa"</f>
        <v>Publiczne Gimnazjum, ul. Kościelna 1, Bierawa</v>
      </c>
      <c r="H158">
        <v>1667</v>
      </c>
      <c r="I158">
        <v>1522</v>
      </c>
      <c r="J158">
        <v>647</v>
      </c>
      <c r="K158">
        <v>1</v>
      </c>
      <c r="L158">
        <v>875</v>
      </c>
      <c r="M158">
        <v>647</v>
      </c>
      <c r="N158">
        <v>638</v>
      </c>
      <c r="O158">
        <v>9</v>
      </c>
      <c r="P158">
        <v>210</v>
      </c>
      <c r="Q158">
        <v>428</v>
      </c>
    </row>
    <row r="159" spans="1:17" ht="14.25">
      <c r="A159">
        <v>155</v>
      </c>
      <c r="B159" t="str">
        <f>"160302"</f>
        <v>160302</v>
      </c>
      <c r="C159" t="str">
        <f>"gm. Bierawa"</f>
        <v>gm. Bierawa</v>
      </c>
      <c r="D159" t="str">
        <f t="shared" si="26"/>
        <v>kędzierzyńsko-kozielski</v>
      </c>
      <c r="E159" t="str">
        <f t="shared" si="25"/>
        <v>opolskie</v>
      </c>
      <c r="F159">
        <v>3</v>
      </c>
      <c r="G159" t="str">
        <f>"Szkoła Podstawowa, ul. Kozielska 8, Dziergowice"</f>
        <v>Szkoła Podstawowa, ul. Kozielska 8, Dziergowice</v>
      </c>
      <c r="H159">
        <v>1830</v>
      </c>
      <c r="I159">
        <v>1679</v>
      </c>
      <c r="J159">
        <v>633</v>
      </c>
      <c r="K159">
        <v>0</v>
      </c>
      <c r="L159">
        <v>1046</v>
      </c>
      <c r="M159">
        <v>633</v>
      </c>
      <c r="N159">
        <v>624</v>
      </c>
      <c r="O159">
        <v>9</v>
      </c>
      <c r="P159">
        <v>189</v>
      </c>
      <c r="Q159">
        <v>435</v>
      </c>
    </row>
    <row r="160" spans="1:17" ht="14.25">
      <c r="A160">
        <v>156</v>
      </c>
      <c r="B160" t="str">
        <f>"160302"</f>
        <v>160302</v>
      </c>
      <c r="C160" t="str">
        <f>"gm. Bierawa"</f>
        <v>gm. Bierawa</v>
      </c>
      <c r="D160" t="str">
        <f t="shared" si="26"/>
        <v>kędzierzyńsko-kozielski</v>
      </c>
      <c r="E160" t="str">
        <f t="shared" si="25"/>
        <v>opolskie</v>
      </c>
      <c r="F160">
        <v>4</v>
      </c>
      <c r="G160" t="str">
        <f>"Wiejski Dom Kultury, ul. Brzozowa 33, Stara Kuźnia"</f>
        <v>Wiejski Dom Kultury, ul. Brzozowa 33, Stara Kuźnia</v>
      </c>
      <c r="H160">
        <v>935</v>
      </c>
      <c r="I160">
        <v>880</v>
      </c>
      <c r="J160">
        <v>375</v>
      </c>
      <c r="K160">
        <v>0</v>
      </c>
      <c r="L160">
        <v>505</v>
      </c>
      <c r="M160">
        <v>375</v>
      </c>
      <c r="N160">
        <v>365</v>
      </c>
      <c r="O160">
        <v>10</v>
      </c>
      <c r="P160">
        <v>104</v>
      </c>
      <c r="Q160">
        <v>261</v>
      </c>
    </row>
    <row r="161" spans="1:17" ht="14.25">
      <c r="A161">
        <v>157</v>
      </c>
      <c r="B161" t="str">
        <f>"160302"</f>
        <v>160302</v>
      </c>
      <c r="C161" t="str">
        <f>"gm. Bierawa"</f>
        <v>gm. Bierawa</v>
      </c>
      <c r="D161" t="str">
        <f t="shared" si="26"/>
        <v>kędzierzyńsko-kozielski</v>
      </c>
      <c r="E161" t="str">
        <f t="shared" si="25"/>
        <v>opolskie</v>
      </c>
      <c r="F161">
        <v>5</v>
      </c>
      <c r="G161" t="str">
        <f>"Świetlica Wiejska, ul. Gliwicka 34, Kotlarnia"</f>
        <v>Świetlica Wiejska, ul. Gliwicka 34, Kotlarnia</v>
      </c>
      <c r="H161">
        <v>667</v>
      </c>
      <c r="I161">
        <v>640</v>
      </c>
      <c r="J161">
        <v>360</v>
      </c>
      <c r="K161">
        <v>0</v>
      </c>
      <c r="L161">
        <v>280</v>
      </c>
      <c r="M161">
        <v>360</v>
      </c>
      <c r="N161">
        <v>358</v>
      </c>
      <c r="O161">
        <v>2</v>
      </c>
      <c r="P161">
        <v>104</v>
      </c>
      <c r="Q161">
        <v>254</v>
      </c>
    </row>
    <row r="162" spans="1:17" ht="14.25">
      <c r="A162">
        <v>158</v>
      </c>
      <c r="B162" t="str">
        <f>"160303"</f>
        <v>160303</v>
      </c>
      <c r="C162" t="str">
        <f>"gm. Cisek"</f>
        <v>gm. Cisek</v>
      </c>
      <c r="D162" t="str">
        <f t="shared" si="26"/>
        <v>kędzierzyńsko-kozielski</v>
      </c>
      <c r="E162" t="str">
        <f t="shared" si="25"/>
        <v>opolskie</v>
      </c>
      <c r="F162">
        <v>1</v>
      </c>
      <c r="G162" t="str">
        <f>"Gminny Ośrodek Kultury, ul. Planetorza 30, Cisek"</f>
        <v>Gminny Ośrodek Kultury, ul. Planetorza 30, Cisek</v>
      </c>
      <c r="H162">
        <v>1946</v>
      </c>
      <c r="I162">
        <v>1762</v>
      </c>
      <c r="J162">
        <v>720</v>
      </c>
      <c r="K162">
        <v>1</v>
      </c>
      <c r="L162">
        <v>1042</v>
      </c>
      <c r="M162">
        <v>720</v>
      </c>
      <c r="N162">
        <v>710</v>
      </c>
      <c r="O162">
        <v>10</v>
      </c>
      <c r="P162">
        <v>158</v>
      </c>
      <c r="Q162">
        <v>552</v>
      </c>
    </row>
    <row r="163" spans="1:17" ht="14.25">
      <c r="A163">
        <v>159</v>
      </c>
      <c r="B163" t="str">
        <f>"160303"</f>
        <v>160303</v>
      </c>
      <c r="C163" t="str">
        <f>"gm. Cisek"</f>
        <v>gm. Cisek</v>
      </c>
      <c r="D163" t="str">
        <f t="shared" si="26"/>
        <v>kędzierzyńsko-kozielski</v>
      </c>
      <c r="E163" t="str">
        <f t="shared" si="25"/>
        <v>opolskie</v>
      </c>
      <c r="F163">
        <v>2</v>
      </c>
      <c r="G163" t="str">
        <f>"Wiejski Dom Kultury, ul. Wiejska 25, Nieznaszyn"</f>
        <v>Wiejski Dom Kultury, ul. Wiejska 25, Nieznaszyn</v>
      </c>
      <c r="H163">
        <v>872</v>
      </c>
      <c r="I163">
        <v>800</v>
      </c>
      <c r="J163">
        <v>323</v>
      </c>
      <c r="K163">
        <v>0</v>
      </c>
      <c r="L163">
        <v>477</v>
      </c>
      <c r="M163">
        <v>323</v>
      </c>
      <c r="N163">
        <v>319</v>
      </c>
      <c r="O163">
        <v>4</v>
      </c>
      <c r="P163">
        <v>59</v>
      </c>
      <c r="Q163">
        <v>260</v>
      </c>
    </row>
    <row r="164" spans="1:17" ht="14.25">
      <c r="A164">
        <v>160</v>
      </c>
      <c r="B164" t="str">
        <f>"160303"</f>
        <v>160303</v>
      </c>
      <c r="C164" t="str">
        <f>"gm. Cisek"</f>
        <v>gm. Cisek</v>
      </c>
      <c r="D164" t="str">
        <f t="shared" si="26"/>
        <v>kędzierzyńsko-kozielski</v>
      </c>
      <c r="E164" t="str">
        <f t="shared" si="25"/>
        <v>opolskie</v>
      </c>
      <c r="F164">
        <v>3</v>
      </c>
      <c r="G164" t="str">
        <f>"Szkoła Podstawowa, ul. Główna 98a, Łany"</f>
        <v>Szkoła Podstawowa, ul. Główna 98a, Łany</v>
      </c>
      <c r="H164">
        <v>1623</v>
      </c>
      <c r="I164">
        <v>1522</v>
      </c>
      <c r="J164">
        <v>608</v>
      </c>
      <c r="K164">
        <v>0</v>
      </c>
      <c r="L164">
        <v>914</v>
      </c>
      <c r="M164">
        <v>608</v>
      </c>
      <c r="N164">
        <v>598</v>
      </c>
      <c r="O164">
        <v>10</v>
      </c>
      <c r="P164">
        <v>175</v>
      </c>
      <c r="Q164">
        <v>423</v>
      </c>
    </row>
    <row r="165" spans="1:17" ht="14.25">
      <c r="A165">
        <v>161</v>
      </c>
      <c r="B165" t="str">
        <f>"160303"</f>
        <v>160303</v>
      </c>
      <c r="C165" t="str">
        <f>"gm. Cisek"</f>
        <v>gm. Cisek</v>
      </c>
      <c r="D165" t="str">
        <f t="shared" si="26"/>
        <v>kędzierzyńsko-kozielski</v>
      </c>
      <c r="E165" t="str">
        <f t="shared" si="25"/>
        <v>opolskie</v>
      </c>
      <c r="F165">
        <v>4</v>
      </c>
      <c r="G165" t="str">
        <f>"Dom Strażaka, ul. Kochanowskiego 63, Roszowicki Las"</f>
        <v>Dom Strażaka, ul. Kochanowskiego 63, Roszowicki Las</v>
      </c>
      <c r="H165">
        <v>451</v>
      </c>
      <c r="I165">
        <v>477</v>
      </c>
      <c r="J165">
        <v>183</v>
      </c>
      <c r="K165">
        <v>0</v>
      </c>
      <c r="L165">
        <v>294</v>
      </c>
      <c r="M165">
        <v>183</v>
      </c>
      <c r="N165">
        <v>181</v>
      </c>
      <c r="O165">
        <v>2</v>
      </c>
      <c r="P165">
        <v>49</v>
      </c>
      <c r="Q165">
        <v>132</v>
      </c>
    </row>
    <row r="166" spans="1:17" ht="14.25">
      <c r="A166">
        <v>162</v>
      </c>
      <c r="B166" t="str">
        <f aca="true" t="shared" si="27" ref="B166:B171">"160304"</f>
        <v>160304</v>
      </c>
      <c r="C166" t="str">
        <f aca="true" t="shared" si="28" ref="C166:C171">"gm. Pawłowiczki"</f>
        <v>gm. Pawłowiczki</v>
      </c>
      <c r="D166" t="str">
        <f t="shared" si="26"/>
        <v>kędzierzyńsko-kozielski</v>
      </c>
      <c r="E166" t="str">
        <f t="shared" si="25"/>
        <v>opolskie</v>
      </c>
      <c r="F166">
        <v>1</v>
      </c>
      <c r="G166" t="str">
        <f>"Remiza OSP, ul. Wyzwolenia 67, Pawłowiczki"</f>
        <v>Remiza OSP, ul. Wyzwolenia 67, Pawłowiczki</v>
      </c>
      <c r="H166">
        <v>1494</v>
      </c>
      <c r="I166">
        <v>1440</v>
      </c>
      <c r="J166">
        <v>644</v>
      </c>
      <c r="K166">
        <v>0</v>
      </c>
      <c r="L166">
        <v>796</v>
      </c>
      <c r="M166">
        <v>644</v>
      </c>
      <c r="N166">
        <v>641</v>
      </c>
      <c r="O166">
        <v>3</v>
      </c>
      <c r="P166">
        <v>199</v>
      </c>
      <c r="Q166">
        <v>442</v>
      </c>
    </row>
    <row r="167" spans="1:17" ht="14.25">
      <c r="A167">
        <v>163</v>
      </c>
      <c r="B167" t="str">
        <f t="shared" si="27"/>
        <v>160304</v>
      </c>
      <c r="C167" t="str">
        <f t="shared" si="28"/>
        <v>gm. Pawłowiczki</v>
      </c>
      <c r="D167" t="str">
        <f t="shared" si="26"/>
        <v>kędzierzyńsko-kozielski</v>
      </c>
      <c r="E167" t="str">
        <f t="shared" si="25"/>
        <v>opolskie</v>
      </c>
      <c r="F167">
        <v>2</v>
      </c>
      <c r="G167" t="str">
        <f>"Świetlica Wiejska, ul. Kościelna 3, Ostrożnica"</f>
        <v>Świetlica Wiejska, ul. Kościelna 3, Ostrożnica</v>
      </c>
      <c r="H167">
        <v>978</v>
      </c>
      <c r="I167">
        <v>880</v>
      </c>
      <c r="J167">
        <v>286</v>
      </c>
      <c r="K167">
        <v>0</v>
      </c>
      <c r="L167">
        <v>594</v>
      </c>
      <c r="M167">
        <v>286</v>
      </c>
      <c r="N167">
        <v>279</v>
      </c>
      <c r="O167">
        <v>7</v>
      </c>
      <c r="P167">
        <v>92</v>
      </c>
      <c r="Q167">
        <v>187</v>
      </c>
    </row>
    <row r="168" spans="1:17" ht="14.25">
      <c r="A168">
        <v>164</v>
      </c>
      <c r="B168" t="str">
        <f t="shared" si="27"/>
        <v>160304</v>
      </c>
      <c r="C168" t="str">
        <f t="shared" si="28"/>
        <v>gm. Pawłowiczki</v>
      </c>
      <c r="D168" t="str">
        <f t="shared" si="26"/>
        <v>kędzierzyńsko-kozielski</v>
      </c>
      <c r="E168" t="str">
        <f t="shared" si="25"/>
        <v>opolskie</v>
      </c>
      <c r="F168">
        <v>3</v>
      </c>
      <c r="G168" t="str">
        <f>"Remiza OSP, ul. Spółdzielcza 6, Maciowakrze"</f>
        <v>Remiza OSP, ul. Spółdzielcza 6, Maciowakrze</v>
      </c>
      <c r="H168">
        <v>474</v>
      </c>
      <c r="I168">
        <v>480</v>
      </c>
      <c r="J168">
        <v>183</v>
      </c>
      <c r="K168">
        <v>0</v>
      </c>
      <c r="L168">
        <v>297</v>
      </c>
      <c r="M168">
        <v>183</v>
      </c>
      <c r="N168">
        <v>176</v>
      </c>
      <c r="O168">
        <v>7</v>
      </c>
      <c r="P168">
        <v>37</v>
      </c>
      <c r="Q168">
        <v>139</v>
      </c>
    </row>
    <row r="169" spans="1:17" ht="14.25">
      <c r="A169">
        <v>165</v>
      </c>
      <c r="B169" t="str">
        <f t="shared" si="27"/>
        <v>160304</v>
      </c>
      <c r="C169" t="str">
        <f t="shared" si="28"/>
        <v>gm. Pawłowiczki</v>
      </c>
      <c r="D169" t="str">
        <f t="shared" si="26"/>
        <v>kędzierzyńsko-kozielski</v>
      </c>
      <c r="E169" t="str">
        <f t="shared" si="25"/>
        <v>opolskie</v>
      </c>
      <c r="F169">
        <v>4</v>
      </c>
      <c r="G169" t="str">
        <f>"Zespół Szkolno-Przedszkolny, Jakubowice 2c, Jakubowice"</f>
        <v>Zespół Szkolno-Przedszkolny, Jakubowice 2c, Jakubowice</v>
      </c>
      <c r="H169">
        <v>1260</v>
      </c>
      <c r="I169">
        <v>1200</v>
      </c>
      <c r="J169">
        <v>376</v>
      </c>
      <c r="K169">
        <v>0</v>
      </c>
      <c r="L169">
        <v>824</v>
      </c>
      <c r="M169">
        <v>376</v>
      </c>
      <c r="N169">
        <v>372</v>
      </c>
      <c r="O169">
        <v>4</v>
      </c>
      <c r="P169">
        <v>93</v>
      </c>
      <c r="Q169">
        <v>279</v>
      </c>
    </row>
    <row r="170" spans="1:17" ht="14.25">
      <c r="A170">
        <v>166</v>
      </c>
      <c r="B170" t="str">
        <f t="shared" si="27"/>
        <v>160304</v>
      </c>
      <c r="C170" t="str">
        <f t="shared" si="28"/>
        <v>gm. Pawłowiczki</v>
      </c>
      <c r="D170" t="str">
        <f t="shared" si="26"/>
        <v>kędzierzyńsko-kozielski</v>
      </c>
      <c r="E170" t="str">
        <f t="shared" si="25"/>
        <v>opolskie</v>
      </c>
      <c r="F170">
        <v>5</v>
      </c>
      <c r="G170" t="str">
        <f>"Zespół Gimnazjalno-Szkolno-Przedszkolny, ul. Szkolna 22, Gościęcin"</f>
        <v>Zespół Gimnazjalno-Szkolno-Przedszkolny, ul. Szkolna 22, Gościęcin</v>
      </c>
      <c r="H170">
        <v>1693</v>
      </c>
      <c r="I170">
        <v>1520</v>
      </c>
      <c r="J170">
        <v>668</v>
      </c>
      <c r="K170">
        <v>0</v>
      </c>
      <c r="L170">
        <v>852</v>
      </c>
      <c r="M170">
        <v>668</v>
      </c>
      <c r="N170">
        <v>663</v>
      </c>
      <c r="O170">
        <v>5</v>
      </c>
      <c r="P170">
        <v>285</v>
      </c>
      <c r="Q170">
        <v>378</v>
      </c>
    </row>
    <row r="171" spans="1:17" ht="14.25">
      <c r="A171">
        <v>167</v>
      </c>
      <c r="B171" t="str">
        <f t="shared" si="27"/>
        <v>160304</v>
      </c>
      <c r="C171" t="str">
        <f t="shared" si="28"/>
        <v>gm. Pawłowiczki</v>
      </c>
      <c r="D171" t="str">
        <f t="shared" si="26"/>
        <v>kędzierzyńsko-kozielski</v>
      </c>
      <c r="E171" t="str">
        <f t="shared" si="25"/>
        <v>opolskie</v>
      </c>
      <c r="F171">
        <v>6</v>
      </c>
      <c r="G171" t="str">
        <f>"Publiczna Szkoła Podstawowa, ul. Główna 19, Naczęsławice"</f>
        <v>Publiczna Szkoła Podstawowa, ul. Główna 19, Naczęsławice</v>
      </c>
      <c r="H171">
        <v>779</v>
      </c>
      <c r="I171">
        <v>722</v>
      </c>
      <c r="J171">
        <v>278</v>
      </c>
      <c r="K171">
        <v>0</v>
      </c>
      <c r="L171">
        <v>444</v>
      </c>
      <c r="M171">
        <v>278</v>
      </c>
      <c r="N171">
        <v>274</v>
      </c>
      <c r="O171">
        <v>4</v>
      </c>
      <c r="P171">
        <v>83</v>
      </c>
      <c r="Q171">
        <v>191</v>
      </c>
    </row>
    <row r="172" spans="1:17" ht="14.25">
      <c r="A172">
        <v>168</v>
      </c>
      <c r="B172" t="str">
        <f>"160305"</f>
        <v>160305</v>
      </c>
      <c r="C172" t="str">
        <f>"gm. Polska Cerekiew"</f>
        <v>gm. Polska Cerekiew</v>
      </c>
      <c r="D172" t="str">
        <f t="shared" si="26"/>
        <v>kędzierzyńsko-kozielski</v>
      </c>
      <c r="E172" t="str">
        <f t="shared" si="25"/>
        <v>opolskie</v>
      </c>
      <c r="F172">
        <v>1</v>
      </c>
      <c r="G172" t="str">
        <f>"Urząd Gminy, ul. Raciborska 4, Polska Cerekiew"</f>
        <v>Urząd Gminy, ul. Raciborska 4, Polska Cerekiew</v>
      </c>
      <c r="H172">
        <v>1776</v>
      </c>
      <c r="I172">
        <v>1680</v>
      </c>
      <c r="J172">
        <v>762</v>
      </c>
      <c r="K172">
        <v>0</v>
      </c>
      <c r="L172">
        <v>918</v>
      </c>
      <c r="M172">
        <v>761</v>
      </c>
      <c r="N172">
        <v>751</v>
      </c>
      <c r="O172">
        <v>10</v>
      </c>
      <c r="P172">
        <v>187</v>
      </c>
      <c r="Q172">
        <v>564</v>
      </c>
    </row>
    <row r="173" spans="1:17" ht="14.25">
      <c r="A173">
        <v>169</v>
      </c>
      <c r="B173" t="str">
        <f>"160305"</f>
        <v>160305</v>
      </c>
      <c r="C173" t="str">
        <f>"gm. Polska Cerekiew"</f>
        <v>gm. Polska Cerekiew</v>
      </c>
      <c r="D173" t="str">
        <f t="shared" si="26"/>
        <v>kędzierzyńsko-kozielski</v>
      </c>
      <c r="E173" t="str">
        <f t="shared" si="25"/>
        <v>opolskie</v>
      </c>
      <c r="F173">
        <v>2</v>
      </c>
      <c r="G173" t="str">
        <f>"Świetlica wiejska, ul. Kościelna 32, Grzędzin"</f>
        <v>Świetlica wiejska, ul. Kościelna 32, Grzędzin</v>
      </c>
      <c r="H173">
        <v>1110</v>
      </c>
      <c r="I173">
        <v>1040</v>
      </c>
      <c r="J173">
        <v>404</v>
      </c>
      <c r="K173">
        <v>0</v>
      </c>
      <c r="L173">
        <v>636</v>
      </c>
      <c r="M173">
        <v>404</v>
      </c>
      <c r="N173">
        <v>399</v>
      </c>
      <c r="O173">
        <v>5</v>
      </c>
      <c r="P173">
        <v>81</v>
      </c>
      <c r="Q173">
        <v>318</v>
      </c>
    </row>
    <row r="174" spans="1:17" ht="14.25">
      <c r="A174">
        <v>170</v>
      </c>
      <c r="B174" t="str">
        <f>"160305"</f>
        <v>160305</v>
      </c>
      <c r="C174" t="str">
        <f>"gm. Polska Cerekiew"</f>
        <v>gm. Polska Cerekiew</v>
      </c>
      <c r="D174" t="str">
        <f t="shared" si="26"/>
        <v>kędzierzyńsko-kozielski</v>
      </c>
      <c r="E174" t="str">
        <f t="shared" si="25"/>
        <v>opolskie</v>
      </c>
      <c r="F174">
        <v>3</v>
      </c>
      <c r="G174" t="str">
        <f>"Caritas, ul. Chopina 54, Zakrzów"</f>
        <v>Caritas, ul. Chopina 54, Zakrzów</v>
      </c>
      <c r="H174">
        <v>849</v>
      </c>
      <c r="I174">
        <v>800</v>
      </c>
      <c r="J174">
        <v>323</v>
      </c>
      <c r="K174">
        <v>0</v>
      </c>
      <c r="L174">
        <v>477</v>
      </c>
      <c r="M174">
        <v>323</v>
      </c>
      <c r="N174">
        <v>313</v>
      </c>
      <c r="O174">
        <v>10</v>
      </c>
      <c r="P174">
        <v>70</v>
      </c>
      <c r="Q174">
        <v>243</v>
      </c>
    </row>
    <row r="175" spans="1:17" ht="14.25">
      <c r="A175">
        <v>171</v>
      </c>
      <c r="B175" t="str">
        <f aca="true" t="shared" si="29" ref="B175:B180">"160306"</f>
        <v>160306</v>
      </c>
      <c r="C175" t="str">
        <f aca="true" t="shared" si="30" ref="C175:C180">"gm. Reńska Wieś"</f>
        <v>gm. Reńska Wieś</v>
      </c>
      <c r="D175" t="str">
        <f t="shared" si="26"/>
        <v>kędzierzyńsko-kozielski</v>
      </c>
      <c r="E175" t="str">
        <f t="shared" si="25"/>
        <v>opolskie</v>
      </c>
      <c r="F175">
        <v>1</v>
      </c>
      <c r="G175" t="str">
        <f>"Szkoła Podstawowa, ul. Kwiatowa 4, Mechnica"</f>
        <v>Szkoła Podstawowa, ul. Kwiatowa 4, Mechnica</v>
      </c>
      <c r="H175">
        <v>1211</v>
      </c>
      <c r="I175">
        <v>1120</v>
      </c>
      <c r="J175">
        <v>393</v>
      </c>
      <c r="K175">
        <v>0</v>
      </c>
      <c r="L175">
        <v>727</v>
      </c>
      <c r="M175">
        <v>393</v>
      </c>
      <c r="N175">
        <v>388</v>
      </c>
      <c r="O175">
        <v>5</v>
      </c>
      <c r="P175">
        <v>76</v>
      </c>
      <c r="Q175">
        <v>312</v>
      </c>
    </row>
    <row r="176" spans="1:17" ht="14.25">
      <c r="A176">
        <v>172</v>
      </c>
      <c r="B176" t="str">
        <f t="shared" si="29"/>
        <v>160306</v>
      </c>
      <c r="C176" t="str">
        <f t="shared" si="30"/>
        <v>gm. Reńska Wieś</v>
      </c>
      <c r="D176" t="str">
        <f t="shared" si="26"/>
        <v>kędzierzyńsko-kozielski</v>
      </c>
      <c r="E176" t="str">
        <f t="shared" si="25"/>
        <v>opolskie</v>
      </c>
      <c r="F176">
        <v>2</v>
      </c>
      <c r="G176" t="str">
        <f>"Świetlica wiejska, ul. Kozielska 5, Większyce"</f>
        <v>Świetlica wiejska, ul. Kozielska 5, Większyce</v>
      </c>
      <c r="H176">
        <v>1357</v>
      </c>
      <c r="I176">
        <v>1280</v>
      </c>
      <c r="J176">
        <v>507</v>
      </c>
      <c r="K176">
        <v>0</v>
      </c>
      <c r="L176">
        <v>773</v>
      </c>
      <c r="M176">
        <v>507</v>
      </c>
      <c r="N176">
        <v>504</v>
      </c>
      <c r="O176">
        <v>3</v>
      </c>
      <c r="P176">
        <v>182</v>
      </c>
      <c r="Q176">
        <v>322</v>
      </c>
    </row>
    <row r="177" spans="1:17" ht="14.25">
      <c r="A177">
        <v>173</v>
      </c>
      <c r="B177" t="str">
        <f t="shared" si="29"/>
        <v>160306</v>
      </c>
      <c r="C177" t="str">
        <f t="shared" si="30"/>
        <v>gm. Reńska Wieś</v>
      </c>
      <c r="D177" t="str">
        <f t="shared" si="26"/>
        <v>kędzierzyńsko-kozielski</v>
      </c>
      <c r="E177" t="str">
        <f t="shared" si="25"/>
        <v>opolskie</v>
      </c>
      <c r="F177">
        <v>3</v>
      </c>
      <c r="G177" t="str">
        <f>"Urząd Gminy, ul. Pawłowicka 1, Reńska Wieś"</f>
        <v>Urząd Gminy, ul. Pawłowicka 1, Reńska Wieś</v>
      </c>
      <c r="H177">
        <v>1322</v>
      </c>
      <c r="I177">
        <v>1280</v>
      </c>
      <c r="J177">
        <v>566</v>
      </c>
      <c r="K177">
        <v>0</v>
      </c>
      <c r="L177">
        <v>714</v>
      </c>
      <c r="M177">
        <v>565</v>
      </c>
      <c r="N177">
        <v>555</v>
      </c>
      <c r="O177">
        <v>10</v>
      </c>
      <c r="P177">
        <v>150</v>
      </c>
      <c r="Q177">
        <v>405</v>
      </c>
    </row>
    <row r="178" spans="1:17" ht="14.25">
      <c r="A178">
        <v>174</v>
      </c>
      <c r="B178" t="str">
        <f t="shared" si="29"/>
        <v>160306</v>
      </c>
      <c r="C178" t="str">
        <f t="shared" si="30"/>
        <v>gm. Reńska Wieś</v>
      </c>
      <c r="D178" t="str">
        <f t="shared" si="26"/>
        <v>kędzierzyńsko-kozielski</v>
      </c>
      <c r="E178" t="str">
        <f t="shared" si="25"/>
        <v>opolskie</v>
      </c>
      <c r="F178">
        <v>4</v>
      </c>
      <c r="G178" t="str">
        <f>"Szkoła Podstawowa, ul. Parkowa 8, Długomiłowice"</f>
        <v>Szkoła Podstawowa, ul. Parkowa 8, Długomiłowice</v>
      </c>
      <c r="H178">
        <v>1607</v>
      </c>
      <c r="I178">
        <v>1440</v>
      </c>
      <c r="J178">
        <v>511</v>
      </c>
      <c r="K178">
        <v>0</v>
      </c>
      <c r="L178">
        <v>929</v>
      </c>
      <c r="M178">
        <v>511</v>
      </c>
      <c r="N178">
        <v>502</v>
      </c>
      <c r="O178">
        <v>9</v>
      </c>
      <c r="P178">
        <v>128</v>
      </c>
      <c r="Q178">
        <v>374</v>
      </c>
    </row>
    <row r="179" spans="1:17" ht="14.25">
      <c r="A179">
        <v>175</v>
      </c>
      <c r="B179" t="str">
        <f t="shared" si="29"/>
        <v>160306</v>
      </c>
      <c r="C179" t="str">
        <f t="shared" si="30"/>
        <v>gm. Reńska Wieś</v>
      </c>
      <c r="D179" t="str">
        <f t="shared" si="26"/>
        <v>kędzierzyńsko-kozielski</v>
      </c>
      <c r="E179" t="str">
        <f t="shared" si="25"/>
        <v>opolskie</v>
      </c>
      <c r="F179">
        <v>5</v>
      </c>
      <c r="G179" t="str">
        <f>"Świetlica OSP, ul. 1 Maja 12a, Pokrzywnica"</f>
        <v>Świetlica OSP, ul. 1 Maja 12a, Pokrzywnica</v>
      </c>
      <c r="H179">
        <v>674</v>
      </c>
      <c r="I179">
        <v>720</v>
      </c>
      <c r="J179">
        <v>277</v>
      </c>
      <c r="K179">
        <v>0</v>
      </c>
      <c r="L179">
        <v>443</v>
      </c>
      <c r="M179">
        <v>277</v>
      </c>
      <c r="N179">
        <v>271</v>
      </c>
      <c r="O179">
        <v>6</v>
      </c>
      <c r="P179">
        <v>45</v>
      </c>
      <c r="Q179">
        <v>226</v>
      </c>
    </row>
    <row r="180" spans="1:17" ht="14.25">
      <c r="A180">
        <v>176</v>
      </c>
      <c r="B180" t="str">
        <f t="shared" si="29"/>
        <v>160306</v>
      </c>
      <c r="C180" t="str">
        <f t="shared" si="30"/>
        <v>gm. Reńska Wieś</v>
      </c>
      <c r="D180" t="str">
        <f t="shared" si="26"/>
        <v>kędzierzyńsko-kozielski</v>
      </c>
      <c r="E180" t="str">
        <f t="shared" si="25"/>
        <v>opolskie</v>
      </c>
      <c r="F180">
        <v>6</v>
      </c>
      <c r="G180" t="str">
        <f>"Szkoła Podstawowa, ul. Kościelna, Łężce"</f>
        <v>Szkoła Podstawowa, ul. Kościelna, Łężce</v>
      </c>
      <c r="H180">
        <v>590</v>
      </c>
      <c r="I180">
        <v>640</v>
      </c>
      <c r="J180">
        <v>191</v>
      </c>
      <c r="K180">
        <v>0</v>
      </c>
      <c r="L180">
        <v>449</v>
      </c>
      <c r="M180">
        <v>191</v>
      </c>
      <c r="N180">
        <v>190</v>
      </c>
      <c r="O180">
        <v>1</v>
      </c>
      <c r="P180">
        <v>43</v>
      </c>
      <c r="Q180">
        <v>147</v>
      </c>
    </row>
    <row r="181" spans="1:17" ht="14.25">
      <c r="A181">
        <v>177</v>
      </c>
      <c r="B181" t="str">
        <f aca="true" t="shared" si="31" ref="B181:B188">"160401"</f>
        <v>160401</v>
      </c>
      <c r="C181" t="str">
        <f aca="true" t="shared" si="32" ref="C181:C188">"gm. Byczyna"</f>
        <v>gm. Byczyna</v>
      </c>
      <c r="D181" t="str">
        <f aca="true" t="shared" si="33" ref="D181:D212">"kluczborski"</f>
        <v>kluczborski</v>
      </c>
      <c r="E181" t="str">
        <f t="shared" si="25"/>
        <v>opolskie</v>
      </c>
      <c r="F181">
        <v>1</v>
      </c>
      <c r="G181" t="str">
        <f>"Publiczna Szkoła Podstawowa, ul.Poznańska 6, Byczyna"</f>
        <v>Publiczna Szkoła Podstawowa, ul.Poznańska 6, Byczyna</v>
      </c>
      <c r="H181">
        <v>1729</v>
      </c>
      <c r="I181">
        <v>1680</v>
      </c>
      <c r="J181">
        <v>878</v>
      </c>
      <c r="K181">
        <v>0</v>
      </c>
      <c r="L181">
        <v>802</v>
      </c>
      <c r="M181">
        <v>878</v>
      </c>
      <c r="N181">
        <v>874</v>
      </c>
      <c r="O181">
        <v>4</v>
      </c>
      <c r="P181">
        <v>404</v>
      </c>
      <c r="Q181">
        <v>470</v>
      </c>
    </row>
    <row r="182" spans="1:17" ht="14.25">
      <c r="A182">
        <v>178</v>
      </c>
      <c r="B182" t="str">
        <f t="shared" si="31"/>
        <v>160401</v>
      </c>
      <c r="C182" t="str">
        <f t="shared" si="32"/>
        <v>gm. Byczyna</v>
      </c>
      <c r="D182" t="str">
        <f t="shared" si="33"/>
        <v>kluczborski</v>
      </c>
      <c r="E182" t="str">
        <f t="shared" si="25"/>
        <v>opolskie</v>
      </c>
      <c r="F182">
        <v>2</v>
      </c>
      <c r="G182" t="str">
        <f>"Ratusz, ul. Rynek 1, Byczyna"</f>
        <v>Ratusz, ul. Rynek 1, Byczyna</v>
      </c>
      <c r="H182">
        <v>1849</v>
      </c>
      <c r="I182">
        <v>1680</v>
      </c>
      <c r="J182">
        <v>916</v>
      </c>
      <c r="K182">
        <v>0</v>
      </c>
      <c r="L182">
        <v>764</v>
      </c>
      <c r="M182">
        <v>916</v>
      </c>
      <c r="N182">
        <v>911</v>
      </c>
      <c r="O182">
        <v>5</v>
      </c>
      <c r="P182">
        <v>410</v>
      </c>
      <c r="Q182">
        <v>501</v>
      </c>
    </row>
    <row r="183" spans="1:17" ht="14.25">
      <c r="A183">
        <v>179</v>
      </c>
      <c r="B183" t="str">
        <f t="shared" si="31"/>
        <v>160401</v>
      </c>
      <c r="C183" t="str">
        <f t="shared" si="32"/>
        <v>gm. Byczyna</v>
      </c>
      <c r="D183" t="str">
        <f t="shared" si="33"/>
        <v>kluczborski</v>
      </c>
      <c r="E183" t="str">
        <f t="shared" si="25"/>
        <v>opolskie</v>
      </c>
      <c r="F183">
        <v>3</v>
      </c>
      <c r="G183" t="str">
        <f>"Świetlica Wiejska, ul. Sienkiewicza 3A, Dobiercice"</f>
        <v>Świetlica Wiejska, ul. Sienkiewicza 3A, Dobiercice</v>
      </c>
      <c r="H183">
        <v>489</v>
      </c>
      <c r="I183">
        <v>478</v>
      </c>
      <c r="J183">
        <v>228</v>
      </c>
      <c r="K183">
        <v>0</v>
      </c>
      <c r="L183">
        <v>250</v>
      </c>
      <c r="M183">
        <v>228</v>
      </c>
      <c r="N183">
        <v>226</v>
      </c>
      <c r="O183">
        <v>2</v>
      </c>
      <c r="P183">
        <v>122</v>
      </c>
      <c r="Q183">
        <v>104</v>
      </c>
    </row>
    <row r="184" spans="1:17" ht="14.25">
      <c r="A184">
        <v>180</v>
      </c>
      <c r="B184" t="str">
        <f t="shared" si="31"/>
        <v>160401</v>
      </c>
      <c r="C184" t="str">
        <f t="shared" si="32"/>
        <v>gm. Byczyna</v>
      </c>
      <c r="D184" t="str">
        <f t="shared" si="33"/>
        <v>kluczborski</v>
      </c>
      <c r="E184" t="str">
        <f t="shared" si="25"/>
        <v>opolskie</v>
      </c>
      <c r="F184">
        <v>4</v>
      </c>
      <c r="G184" t="str">
        <f>"Publiczna Szkoła Podstawowa, Kostów 10, Kostów"</f>
        <v>Publiczna Szkoła Podstawowa, Kostów 10, Kostów</v>
      </c>
      <c r="H184">
        <v>713</v>
      </c>
      <c r="I184">
        <v>720</v>
      </c>
      <c r="J184">
        <v>322</v>
      </c>
      <c r="K184">
        <v>0</v>
      </c>
      <c r="L184">
        <v>398</v>
      </c>
      <c r="M184">
        <v>322</v>
      </c>
      <c r="N184">
        <v>320</v>
      </c>
      <c r="O184">
        <v>2</v>
      </c>
      <c r="P184">
        <v>152</v>
      </c>
      <c r="Q184">
        <v>168</v>
      </c>
    </row>
    <row r="185" spans="1:17" ht="14.25">
      <c r="A185">
        <v>181</v>
      </c>
      <c r="B185" t="str">
        <f t="shared" si="31"/>
        <v>160401</v>
      </c>
      <c r="C185" t="str">
        <f t="shared" si="32"/>
        <v>gm. Byczyna</v>
      </c>
      <c r="D185" t="str">
        <f t="shared" si="33"/>
        <v>kluczborski</v>
      </c>
      <c r="E185" t="str">
        <f t="shared" si="25"/>
        <v>opolskie</v>
      </c>
      <c r="F185">
        <v>5</v>
      </c>
      <c r="G185" t="str">
        <f>"Publiczna Szkoła Podstawowa, Roszkowice 88, Roszkowice"</f>
        <v>Publiczna Szkoła Podstawowa, Roszkowice 88, Roszkowice</v>
      </c>
      <c r="H185">
        <v>579</v>
      </c>
      <c r="I185">
        <v>640</v>
      </c>
      <c r="J185">
        <v>220</v>
      </c>
      <c r="K185">
        <v>0</v>
      </c>
      <c r="L185">
        <v>420</v>
      </c>
      <c r="M185">
        <v>220</v>
      </c>
      <c r="N185">
        <v>213</v>
      </c>
      <c r="O185">
        <v>7</v>
      </c>
      <c r="P185">
        <v>98</v>
      </c>
      <c r="Q185">
        <v>115</v>
      </c>
    </row>
    <row r="186" spans="1:17" ht="14.25">
      <c r="A186">
        <v>182</v>
      </c>
      <c r="B186" t="str">
        <f t="shared" si="31"/>
        <v>160401</v>
      </c>
      <c r="C186" t="str">
        <f t="shared" si="32"/>
        <v>gm. Byczyna</v>
      </c>
      <c r="D186" t="str">
        <f t="shared" si="33"/>
        <v>kluczborski</v>
      </c>
      <c r="E186" t="str">
        <f t="shared" si="25"/>
        <v>opolskie</v>
      </c>
      <c r="F186">
        <v>6</v>
      </c>
      <c r="G186" t="str">
        <f>"Przedszkole Publiczne w Byczynie - Oddział w Nasalach, Nasale 47, Nasale"</f>
        <v>Przedszkole Publiczne w Byczynie - Oddział w Nasalach, Nasale 47, Nasale</v>
      </c>
      <c r="H186">
        <v>543</v>
      </c>
      <c r="I186">
        <v>477</v>
      </c>
      <c r="J186">
        <v>179</v>
      </c>
      <c r="K186">
        <v>0</v>
      </c>
      <c r="L186">
        <v>298</v>
      </c>
      <c r="M186">
        <v>179</v>
      </c>
      <c r="N186">
        <v>178</v>
      </c>
      <c r="O186">
        <v>1</v>
      </c>
      <c r="P186">
        <v>84</v>
      </c>
      <c r="Q186">
        <v>94</v>
      </c>
    </row>
    <row r="187" spans="1:17" ht="14.25">
      <c r="A187">
        <v>183</v>
      </c>
      <c r="B187" t="str">
        <f t="shared" si="31"/>
        <v>160401</v>
      </c>
      <c r="C187" t="str">
        <f t="shared" si="32"/>
        <v>gm. Byczyna</v>
      </c>
      <c r="D187" t="str">
        <f t="shared" si="33"/>
        <v>kluczborski</v>
      </c>
      <c r="E187" t="str">
        <f t="shared" si="25"/>
        <v>opolskie</v>
      </c>
      <c r="F187">
        <v>7</v>
      </c>
      <c r="G187" t="str">
        <f>"Świetlica Wiejska, Proślice 32, Proślice"</f>
        <v>Świetlica Wiejska, Proślice 32, Proślice</v>
      </c>
      <c r="H187">
        <v>886</v>
      </c>
      <c r="I187">
        <v>880</v>
      </c>
      <c r="J187">
        <v>375</v>
      </c>
      <c r="K187">
        <v>2</v>
      </c>
      <c r="L187">
        <v>505</v>
      </c>
      <c r="M187">
        <v>375</v>
      </c>
      <c r="N187">
        <v>372</v>
      </c>
      <c r="O187">
        <v>3</v>
      </c>
      <c r="P187">
        <v>156</v>
      </c>
      <c r="Q187">
        <v>216</v>
      </c>
    </row>
    <row r="188" spans="1:17" ht="14.25">
      <c r="A188">
        <v>184</v>
      </c>
      <c r="B188" t="str">
        <f t="shared" si="31"/>
        <v>160401</v>
      </c>
      <c r="C188" t="str">
        <f t="shared" si="32"/>
        <v>gm. Byczyna</v>
      </c>
      <c r="D188" t="str">
        <f t="shared" si="33"/>
        <v>kluczborski</v>
      </c>
      <c r="E188" t="str">
        <f t="shared" si="25"/>
        <v>opolskie</v>
      </c>
      <c r="F188">
        <v>8</v>
      </c>
      <c r="G188" t="str">
        <f>"Publiczna Szkoła Podstawowa, Biskupice 22, Biskupice"</f>
        <v>Publiczna Szkoła Podstawowa, Biskupice 22, Biskupice</v>
      </c>
      <c r="H188">
        <v>901</v>
      </c>
      <c r="I188">
        <v>880</v>
      </c>
      <c r="J188">
        <v>370</v>
      </c>
      <c r="K188">
        <v>0</v>
      </c>
      <c r="L188">
        <v>510</v>
      </c>
      <c r="M188">
        <v>370</v>
      </c>
      <c r="N188">
        <v>362</v>
      </c>
      <c r="O188">
        <v>8</v>
      </c>
      <c r="P188">
        <v>150</v>
      </c>
      <c r="Q188">
        <v>212</v>
      </c>
    </row>
    <row r="189" spans="1:17" ht="14.25">
      <c r="A189">
        <v>185</v>
      </c>
      <c r="B189" t="str">
        <f aca="true" t="shared" si="34" ref="B189:B216">"160402"</f>
        <v>160402</v>
      </c>
      <c r="C189" t="str">
        <f aca="true" t="shared" si="35" ref="C189:C216">"gm. Kluczbork"</f>
        <v>gm. Kluczbork</v>
      </c>
      <c r="D189" t="str">
        <f t="shared" si="33"/>
        <v>kluczborski</v>
      </c>
      <c r="E189" t="str">
        <f t="shared" si="25"/>
        <v>opolskie</v>
      </c>
      <c r="F189">
        <v>1</v>
      </c>
      <c r="G189" t="str">
        <f>"Zespół Szkół Ogólnokształcących, ul. Mickiewicza 10, Kluczbork"</f>
        <v>Zespół Szkół Ogólnokształcących, ul. Mickiewicza 10, Kluczbork</v>
      </c>
      <c r="H189">
        <v>1010</v>
      </c>
      <c r="I189">
        <v>990</v>
      </c>
      <c r="J189">
        <v>436</v>
      </c>
      <c r="K189">
        <v>2</v>
      </c>
      <c r="L189">
        <v>554</v>
      </c>
      <c r="M189">
        <v>436</v>
      </c>
      <c r="N189">
        <v>433</v>
      </c>
      <c r="O189">
        <v>3</v>
      </c>
      <c r="P189">
        <v>186</v>
      </c>
      <c r="Q189">
        <v>247</v>
      </c>
    </row>
    <row r="190" spans="1:17" ht="14.25">
      <c r="A190">
        <v>186</v>
      </c>
      <c r="B190" t="str">
        <f t="shared" si="34"/>
        <v>160402</v>
      </c>
      <c r="C190" t="str">
        <f t="shared" si="35"/>
        <v>gm. Kluczbork</v>
      </c>
      <c r="D190" t="str">
        <f t="shared" si="33"/>
        <v>kluczborski</v>
      </c>
      <c r="E190" t="str">
        <f t="shared" si="25"/>
        <v>opolskie</v>
      </c>
      <c r="F190">
        <v>2</v>
      </c>
      <c r="G190" t="str">
        <f>"Ratusz, Rynek 1, Kluczbork"</f>
        <v>Ratusz, Rynek 1, Kluczbork</v>
      </c>
      <c r="H190">
        <v>1516</v>
      </c>
      <c r="I190">
        <v>1440</v>
      </c>
      <c r="J190">
        <v>602</v>
      </c>
      <c r="K190">
        <v>1</v>
      </c>
      <c r="L190">
        <v>838</v>
      </c>
      <c r="M190">
        <v>602</v>
      </c>
      <c r="N190">
        <v>598</v>
      </c>
      <c r="O190">
        <v>4</v>
      </c>
      <c r="P190">
        <v>239</v>
      </c>
      <c r="Q190">
        <v>359</v>
      </c>
    </row>
    <row r="191" spans="1:17" ht="14.25">
      <c r="A191">
        <v>187</v>
      </c>
      <c r="B191" t="str">
        <f t="shared" si="34"/>
        <v>160402</v>
      </c>
      <c r="C191" t="str">
        <f t="shared" si="35"/>
        <v>gm. Kluczbork</v>
      </c>
      <c r="D191" t="str">
        <f t="shared" si="33"/>
        <v>kluczborski</v>
      </c>
      <c r="E191" t="str">
        <f t="shared" si="25"/>
        <v>opolskie</v>
      </c>
      <c r="F191">
        <v>3</v>
      </c>
      <c r="G191" t="str">
        <f>"Zespół Szkół Licealno-Technicznych, ul. Sienkiewicza 20, Kluczbork"</f>
        <v>Zespół Szkół Licealno-Technicznych, ul. Sienkiewicza 20, Kluczbork</v>
      </c>
      <c r="H191">
        <v>1948</v>
      </c>
      <c r="I191">
        <v>1760</v>
      </c>
      <c r="J191">
        <v>1014</v>
      </c>
      <c r="K191">
        <v>0</v>
      </c>
      <c r="L191">
        <v>746</v>
      </c>
      <c r="M191">
        <v>1014</v>
      </c>
      <c r="N191">
        <v>1004</v>
      </c>
      <c r="O191">
        <v>10</v>
      </c>
      <c r="P191">
        <v>423</v>
      </c>
      <c r="Q191">
        <v>581</v>
      </c>
    </row>
    <row r="192" spans="1:17" ht="14.25">
      <c r="A192">
        <v>188</v>
      </c>
      <c r="B192" t="str">
        <f t="shared" si="34"/>
        <v>160402</v>
      </c>
      <c r="C192" t="str">
        <f t="shared" si="35"/>
        <v>gm. Kluczbork</v>
      </c>
      <c r="D192" t="str">
        <f t="shared" si="33"/>
        <v>kluczborski</v>
      </c>
      <c r="E192" t="str">
        <f t="shared" si="25"/>
        <v>opolskie</v>
      </c>
      <c r="F192">
        <v>4</v>
      </c>
      <c r="G192" t="str">
        <f>"Kluczborski Dom Kultury, ul. Mickiewicza 5, Kluczbork"</f>
        <v>Kluczborski Dom Kultury, ul. Mickiewicza 5, Kluczbork</v>
      </c>
      <c r="H192">
        <v>701</v>
      </c>
      <c r="I192">
        <v>690</v>
      </c>
      <c r="J192">
        <v>333</v>
      </c>
      <c r="K192">
        <v>0</v>
      </c>
      <c r="L192">
        <v>357</v>
      </c>
      <c r="M192">
        <v>333</v>
      </c>
      <c r="N192">
        <v>331</v>
      </c>
      <c r="O192">
        <v>2</v>
      </c>
      <c r="P192">
        <v>119</v>
      </c>
      <c r="Q192">
        <v>212</v>
      </c>
    </row>
    <row r="193" spans="1:17" ht="14.25">
      <c r="A193">
        <v>189</v>
      </c>
      <c r="B193" t="str">
        <f t="shared" si="34"/>
        <v>160402</v>
      </c>
      <c r="C193" t="str">
        <f t="shared" si="35"/>
        <v>gm. Kluczbork</v>
      </c>
      <c r="D193" t="str">
        <f t="shared" si="33"/>
        <v>kluczborski</v>
      </c>
      <c r="E193" t="str">
        <f t="shared" si="25"/>
        <v>opolskie</v>
      </c>
      <c r="F193">
        <v>5</v>
      </c>
      <c r="G193" t="str">
        <f>"Zespół Szkół Ponadgimnazjalnych Nr 2 Centrum Kształcenia Ustawicznego, ul. Byczyńska 7, Kluczbork"</f>
        <v>Zespół Szkół Ponadgimnazjalnych Nr 2 Centrum Kształcenia Ustawicznego, ul. Byczyńska 7, Kluczbork</v>
      </c>
      <c r="H193">
        <v>1799</v>
      </c>
      <c r="I193">
        <v>1680</v>
      </c>
      <c r="J193">
        <v>958</v>
      </c>
      <c r="K193">
        <v>1</v>
      </c>
      <c r="L193">
        <v>722</v>
      </c>
      <c r="M193">
        <v>955</v>
      </c>
      <c r="N193">
        <v>947</v>
      </c>
      <c r="O193">
        <v>8</v>
      </c>
      <c r="P193">
        <v>343</v>
      </c>
      <c r="Q193">
        <v>604</v>
      </c>
    </row>
    <row r="194" spans="1:17" ht="14.25">
      <c r="A194">
        <v>190</v>
      </c>
      <c r="B194" t="str">
        <f t="shared" si="34"/>
        <v>160402</v>
      </c>
      <c r="C194" t="str">
        <f t="shared" si="35"/>
        <v>gm. Kluczbork</v>
      </c>
      <c r="D194" t="str">
        <f t="shared" si="33"/>
        <v>kluczborski</v>
      </c>
      <c r="E194" t="str">
        <f t="shared" si="25"/>
        <v>opolskie</v>
      </c>
      <c r="F194">
        <v>6</v>
      </c>
      <c r="G194" t="str">
        <f>"Publiczne Przedszkole Nr 8, ul. Ossowskiego 3, Kluczbork"</f>
        <v>Publiczne Przedszkole Nr 8, ul. Ossowskiego 3, Kluczbork</v>
      </c>
      <c r="H194">
        <v>1509</v>
      </c>
      <c r="I194">
        <v>1440</v>
      </c>
      <c r="J194">
        <v>786</v>
      </c>
      <c r="K194">
        <v>1</v>
      </c>
      <c r="L194">
        <v>654</v>
      </c>
      <c r="M194">
        <v>786</v>
      </c>
      <c r="N194">
        <v>780</v>
      </c>
      <c r="O194">
        <v>6</v>
      </c>
      <c r="P194">
        <v>299</v>
      </c>
      <c r="Q194">
        <v>481</v>
      </c>
    </row>
    <row r="195" spans="1:17" ht="14.25">
      <c r="A195">
        <v>191</v>
      </c>
      <c r="B195" t="str">
        <f t="shared" si="34"/>
        <v>160402</v>
      </c>
      <c r="C195" t="str">
        <f t="shared" si="35"/>
        <v>gm. Kluczbork</v>
      </c>
      <c r="D195" t="str">
        <f t="shared" si="33"/>
        <v>kluczborski</v>
      </c>
      <c r="E195" t="str">
        <f t="shared" si="25"/>
        <v>opolskie</v>
      </c>
      <c r="F195">
        <v>7</v>
      </c>
      <c r="G195" t="str">
        <f>"Budynek Szkolny, ul. Ligonia 12, Kluczbork"</f>
        <v>Budynek Szkolny, ul. Ligonia 12, Kluczbork</v>
      </c>
      <c r="H195">
        <v>1874</v>
      </c>
      <c r="I195">
        <v>1760</v>
      </c>
      <c r="J195">
        <v>1115</v>
      </c>
      <c r="K195">
        <v>0</v>
      </c>
      <c r="L195">
        <v>645</v>
      </c>
      <c r="M195">
        <v>1112</v>
      </c>
      <c r="N195">
        <v>1094</v>
      </c>
      <c r="O195">
        <v>18</v>
      </c>
      <c r="P195">
        <v>392</v>
      </c>
      <c r="Q195">
        <v>702</v>
      </c>
    </row>
    <row r="196" spans="1:17" ht="14.25">
      <c r="A196">
        <v>192</v>
      </c>
      <c r="B196" t="str">
        <f t="shared" si="34"/>
        <v>160402</v>
      </c>
      <c r="C196" t="str">
        <f t="shared" si="35"/>
        <v>gm. Kluczbork</v>
      </c>
      <c r="D196" t="str">
        <f t="shared" si="33"/>
        <v>kluczborski</v>
      </c>
      <c r="E196" t="str">
        <f t="shared" si="25"/>
        <v>opolskie</v>
      </c>
      <c r="F196">
        <v>8</v>
      </c>
      <c r="G196" t="s">
        <v>22</v>
      </c>
      <c r="H196">
        <v>1823</v>
      </c>
      <c r="I196">
        <v>1680</v>
      </c>
      <c r="J196">
        <v>1025</v>
      </c>
      <c r="K196">
        <v>1</v>
      </c>
      <c r="L196">
        <v>655</v>
      </c>
      <c r="M196">
        <v>1025</v>
      </c>
      <c r="N196">
        <v>1011</v>
      </c>
      <c r="O196">
        <v>14</v>
      </c>
      <c r="P196">
        <v>371</v>
      </c>
      <c r="Q196">
        <v>640</v>
      </c>
    </row>
    <row r="197" spans="1:17" ht="14.25">
      <c r="A197">
        <v>193</v>
      </c>
      <c r="B197" t="str">
        <f t="shared" si="34"/>
        <v>160402</v>
      </c>
      <c r="C197" t="str">
        <f t="shared" si="35"/>
        <v>gm. Kluczbork</v>
      </c>
      <c r="D197" t="str">
        <f t="shared" si="33"/>
        <v>kluczborski</v>
      </c>
      <c r="E197" t="str">
        <f aca="true" t="shared" si="36" ref="E197:E260">"opolskie"</f>
        <v>opolskie</v>
      </c>
      <c r="F197">
        <v>9</v>
      </c>
      <c r="G197" t="str">
        <f>"Publiczna Szkoła Podstawowa Nr 2, ul. Wolności 17, Kluczbork"</f>
        <v>Publiczna Szkoła Podstawowa Nr 2, ul. Wolności 17, Kluczbork</v>
      </c>
      <c r="H197">
        <v>2310</v>
      </c>
      <c r="I197">
        <v>2153</v>
      </c>
      <c r="J197">
        <v>1246</v>
      </c>
      <c r="K197">
        <v>0</v>
      </c>
      <c r="L197">
        <v>907</v>
      </c>
      <c r="M197">
        <v>1246</v>
      </c>
      <c r="N197">
        <v>1236</v>
      </c>
      <c r="O197">
        <v>10</v>
      </c>
      <c r="P197">
        <v>426</v>
      </c>
      <c r="Q197">
        <v>810</v>
      </c>
    </row>
    <row r="198" spans="1:17" ht="14.25">
      <c r="A198">
        <v>194</v>
      </c>
      <c r="B198" t="str">
        <f t="shared" si="34"/>
        <v>160402</v>
      </c>
      <c r="C198" t="str">
        <f t="shared" si="35"/>
        <v>gm. Kluczbork</v>
      </c>
      <c r="D198" t="str">
        <f t="shared" si="33"/>
        <v>kluczborski</v>
      </c>
      <c r="E198" t="str">
        <f t="shared" si="36"/>
        <v>opolskie</v>
      </c>
      <c r="F198">
        <v>10</v>
      </c>
      <c r="G198" t="str">
        <f>"Publiczne Gimnazjum Nr 3, ul. Wolności 14, Kluczbork"</f>
        <v>Publiczne Gimnazjum Nr 3, ul. Wolności 14, Kluczbork</v>
      </c>
      <c r="H198">
        <v>2158</v>
      </c>
      <c r="I198">
        <v>1999</v>
      </c>
      <c r="J198">
        <v>1164</v>
      </c>
      <c r="K198">
        <v>1</v>
      </c>
      <c r="L198">
        <v>835</v>
      </c>
      <c r="M198">
        <v>1164</v>
      </c>
      <c r="N198">
        <v>1149</v>
      </c>
      <c r="O198">
        <v>15</v>
      </c>
      <c r="P198">
        <v>383</v>
      </c>
      <c r="Q198">
        <v>766</v>
      </c>
    </row>
    <row r="199" spans="1:17" ht="14.25">
      <c r="A199">
        <v>195</v>
      </c>
      <c r="B199" t="str">
        <f t="shared" si="34"/>
        <v>160402</v>
      </c>
      <c r="C199" t="str">
        <f t="shared" si="35"/>
        <v>gm. Kluczbork</v>
      </c>
      <c r="D199" t="str">
        <f t="shared" si="33"/>
        <v>kluczborski</v>
      </c>
      <c r="E199" t="str">
        <f t="shared" si="36"/>
        <v>opolskie</v>
      </c>
      <c r="F199">
        <v>11</v>
      </c>
      <c r="G199" t="str">
        <f>"Zespół Szkół Ponadgimnazjalnych Nr 1, ul. Skłodowskiej-Curie 13, Kluczbork"</f>
        <v>Zespół Szkół Ponadgimnazjalnych Nr 1, ul. Skłodowskiej-Curie 13, Kluczbork</v>
      </c>
      <c r="H199">
        <v>2183</v>
      </c>
      <c r="I199">
        <v>2080</v>
      </c>
      <c r="J199">
        <v>1110</v>
      </c>
      <c r="K199">
        <v>1</v>
      </c>
      <c r="L199">
        <v>970</v>
      </c>
      <c r="M199">
        <v>1110</v>
      </c>
      <c r="N199">
        <v>1100</v>
      </c>
      <c r="O199">
        <v>10</v>
      </c>
      <c r="P199">
        <v>408</v>
      </c>
      <c r="Q199">
        <v>692</v>
      </c>
    </row>
    <row r="200" spans="1:17" ht="14.25">
      <c r="A200">
        <v>196</v>
      </c>
      <c r="B200" t="str">
        <f t="shared" si="34"/>
        <v>160402</v>
      </c>
      <c r="C200" t="str">
        <f t="shared" si="35"/>
        <v>gm. Kluczbork</v>
      </c>
      <c r="D200" t="str">
        <f t="shared" si="33"/>
        <v>kluczborski</v>
      </c>
      <c r="E200" t="str">
        <f t="shared" si="36"/>
        <v>opolskie</v>
      </c>
      <c r="F200">
        <v>12</v>
      </c>
      <c r="G200" t="str">
        <f>"Publiczne Przedszkole Nr 5, ul. Dąbrowskiego 10, Kluczbork"</f>
        <v>Publiczne Przedszkole Nr 5, ul. Dąbrowskiego 10, Kluczbork</v>
      </c>
      <c r="H200">
        <v>1339</v>
      </c>
      <c r="I200">
        <v>1280</v>
      </c>
      <c r="J200">
        <v>793</v>
      </c>
      <c r="K200">
        <v>0</v>
      </c>
      <c r="L200">
        <v>487</v>
      </c>
      <c r="M200">
        <v>791</v>
      </c>
      <c r="N200">
        <v>789</v>
      </c>
      <c r="O200">
        <v>2</v>
      </c>
      <c r="P200">
        <v>252</v>
      </c>
      <c r="Q200">
        <v>537</v>
      </c>
    </row>
    <row r="201" spans="1:17" ht="14.25">
      <c r="A201">
        <v>197</v>
      </c>
      <c r="B201" t="str">
        <f t="shared" si="34"/>
        <v>160402</v>
      </c>
      <c r="C201" t="str">
        <f t="shared" si="35"/>
        <v>gm. Kluczbork</v>
      </c>
      <c r="D201" t="str">
        <f t="shared" si="33"/>
        <v>kluczborski</v>
      </c>
      <c r="E201" t="str">
        <f t="shared" si="36"/>
        <v>opolskie</v>
      </c>
      <c r="F201">
        <v>13</v>
      </c>
      <c r="G201" t="str">
        <f>"Publiczna Szkoła Podstawowa z Oddziałem Przedszkolnym, ul. Kasztanowa 1, Bąków"</f>
        <v>Publiczna Szkoła Podstawowa z Oddziałem Przedszkolnym, ul. Kasztanowa 1, Bąków</v>
      </c>
      <c r="H201">
        <v>793</v>
      </c>
      <c r="I201">
        <v>720</v>
      </c>
      <c r="J201">
        <v>322</v>
      </c>
      <c r="K201">
        <v>0</v>
      </c>
      <c r="L201">
        <v>398</v>
      </c>
      <c r="M201">
        <v>322</v>
      </c>
      <c r="N201">
        <v>315</v>
      </c>
      <c r="O201">
        <v>7</v>
      </c>
      <c r="P201">
        <v>85</v>
      </c>
      <c r="Q201">
        <v>230</v>
      </c>
    </row>
    <row r="202" spans="1:17" ht="14.25">
      <c r="A202">
        <v>198</v>
      </c>
      <c r="B202" t="str">
        <f t="shared" si="34"/>
        <v>160402</v>
      </c>
      <c r="C202" t="str">
        <f t="shared" si="35"/>
        <v>gm. Kluczbork</v>
      </c>
      <c r="D202" t="str">
        <f t="shared" si="33"/>
        <v>kluczborski</v>
      </c>
      <c r="E202" t="str">
        <f t="shared" si="36"/>
        <v>opolskie</v>
      </c>
      <c r="F202">
        <v>14</v>
      </c>
      <c r="G202" t="str">
        <f>"Publiczna Szkoła Podstawowa z Oddziałem Przedszkolnym, Biadacz 103, Biadacz"</f>
        <v>Publiczna Szkoła Podstawowa z Oddziałem Przedszkolnym, Biadacz 103, Biadacz</v>
      </c>
      <c r="H202">
        <v>529</v>
      </c>
      <c r="I202">
        <v>529</v>
      </c>
      <c r="J202">
        <v>221</v>
      </c>
      <c r="K202">
        <v>0</v>
      </c>
      <c r="L202">
        <v>308</v>
      </c>
      <c r="M202">
        <v>221</v>
      </c>
      <c r="N202">
        <v>216</v>
      </c>
      <c r="O202">
        <v>5</v>
      </c>
      <c r="P202">
        <v>81</v>
      </c>
      <c r="Q202">
        <v>135</v>
      </c>
    </row>
    <row r="203" spans="1:17" ht="14.25">
      <c r="A203">
        <v>199</v>
      </c>
      <c r="B203" t="str">
        <f t="shared" si="34"/>
        <v>160402</v>
      </c>
      <c r="C203" t="str">
        <f t="shared" si="35"/>
        <v>gm. Kluczbork</v>
      </c>
      <c r="D203" t="str">
        <f t="shared" si="33"/>
        <v>kluczborski</v>
      </c>
      <c r="E203" t="str">
        <f t="shared" si="36"/>
        <v>opolskie</v>
      </c>
      <c r="F203">
        <v>15</v>
      </c>
      <c r="G203" t="str">
        <f>"Publiczne Przedszkole nr 8 w Kluczborku z Oddziałami Zamiejscowymi, Ligota Górna, Ligota Górna"</f>
        <v>Publiczne Przedszkole nr 8 w Kluczborku z Oddziałami Zamiejscowymi, Ligota Górna, Ligota Górna</v>
      </c>
      <c r="H203">
        <v>679</v>
      </c>
      <c r="I203">
        <v>600</v>
      </c>
      <c r="J203">
        <v>354</v>
      </c>
      <c r="K203">
        <v>6</v>
      </c>
      <c r="L203">
        <v>246</v>
      </c>
      <c r="M203">
        <v>354</v>
      </c>
      <c r="N203">
        <v>336</v>
      </c>
      <c r="O203">
        <v>18</v>
      </c>
      <c r="P203">
        <v>125</v>
      </c>
      <c r="Q203">
        <v>211</v>
      </c>
    </row>
    <row r="204" spans="1:17" ht="14.25">
      <c r="A204">
        <v>200</v>
      </c>
      <c r="B204" t="str">
        <f t="shared" si="34"/>
        <v>160402</v>
      </c>
      <c r="C204" t="str">
        <f t="shared" si="35"/>
        <v>gm. Kluczbork</v>
      </c>
      <c r="D204" t="str">
        <f t="shared" si="33"/>
        <v>kluczborski</v>
      </c>
      <c r="E204" t="str">
        <f t="shared" si="36"/>
        <v>opolskie</v>
      </c>
      <c r="F204">
        <v>16</v>
      </c>
      <c r="G204" t="str">
        <f>"Publiczna Szkoła Podstawowa z Oddziałem Przedszkolnym, Łowkowice, Łowkowice"</f>
        <v>Publiczna Szkoła Podstawowa z Oddziałem Przedszkolnym, Łowkowice, Łowkowice</v>
      </c>
      <c r="H204">
        <v>879</v>
      </c>
      <c r="I204">
        <v>800</v>
      </c>
      <c r="J204">
        <v>284</v>
      </c>
      <c r="K204">
        <v>0</v>
      </c>
      <c r="L204">
        <v>516</v>
      </c>
      <c r="M204">
        <v>284</v>
      </c>
      <c r="N204">
        <v>282</v>
      </c>
      <c r="O204">
        <v>2</v>
      </c>
      <c r="P204">
        <v>116</v>
      </c>
      <c r="Q204">
        <v>166</v>
      </c>
    </row>
    <row r="205" spans="1:17" ht="14.25">
      <c r="A205">
        <v>201</v>
      </c>
      <c r="B205" t="str">
        <f t="shared" si="34"/>
        <v>160402</v>
      </c>
      <c r="C205" t="str">
        <f t="shared" si="35"/>
        <v>gm. Kluczbork</v>
      </c>
      <c r="D205" t="str">
        <f t="shared" si="33"/>
        <v>kluczborski</v>
      </c>
      <c r="E205" t="str">
        <f t="shared" si="36"/>
        <v>opolskie</v>
      </c>
      <c r="F205">
        <v>17</v>
      </c>
      <c r="G205" t="str">
        <f>"Publiczne Gimnazjum Nr 4, ul. XXX-lecia 37, Kujakowice Górne"</f>
        <v>Publiczne Gimnazjum Nr 4, ul. XXX-lecia 37, Kujakowice Górne</v>
      </c>
      <c r="H205">
        <v>977</v>
      </c>
      <c r="I205">
        <v>880</v>
      </c>
      <c r="J205">
        <v>400</v>
      </c>
      <c r="K205">
        <v>0</v>
      </c>
      <c r="L205">
        <v>480</v>
      </c>
      <c r="M205">
        <v>400</v>
      </c>
      <c r="N205">
        <v>398</v>
      </c>
      <c r="O205">
        <v>2</v>
      </c>
      <c r="P205">
        <v>84</v>
      </c>
      <c r="Q205">
        <v>314</v>
      </c>
    </row>
    <row r="206" spans="1:17" ht="14.25">
      <c r="A206">
        <v>202</v>
      </c>
      <c r="B206" t="str">
        <f t="shared" si="34"/>
        <v>160402</v>
      </c>
      <c r="C206" t="str">
        <f t="shared" si="35"/>
        <v>gm. Kluczbork</v>
      </c>
      <c r="D206" t="str">
        <f t="shared" si="33"/>
        <v>kluczborski</v>
      </c>
      <c r="E206" t="str">
        <f t="shared" si="36"/>
        <v>opolskie</v>
      </c>
      <c r="F206">
        <v>18</v>
      </c>
      <c r="G206" t="str">
        <f>"Publiczna Szkoła Podstawowa z Oddziałem Przedszkolnym, Kuniów 74, Kuniów"</f>
        <v>Publiczna Szkoła Podstawowa z Oddziałem Przedszkolnym, Kuniów 74, Kuniów</v>
      </c>
      <c r="H206">
        <v>860</v>
      </c>
      <c r="I206">
        <v>800</v>
      </c>
      <c r="J206">
        <v>318</v>
      </c>
      <c r="K206">
        <v>0</v>
      </c>
      <c r="L206">
        <v>482</v>
      </c>
      <c r="M206">
        <v>318</v>
      </c>
      <c r="N206">
        <v>317</v>
      </c>
      <c r="O206">
        <v>1</v>
      </c>
      <c r="P206">
        <v>129</v>
      </c>
      <c r="Q206">
        <v>188</v>
      </c>
    </row>
    <row r="207" spans="1:17" ht="14.25">
      <c r="A207">
        <v>203</v>
      </c>
      <c r="B207" t="str">
        <f t="shared" si="34"/>
        <v>160402</v>
      </c>
      <c r="C207" t="str">
        <f t="shared" si="35"/>
        <v>gm. Kluczbork</v>
      </c>
      <c r="D207" t="str">
        <f t="shared" si="33"/>
        <v>kluczborski</v>
      </c>
      <c r="E207" t="str">
        <f t="shared" si="36"/>
        <v>opolskie</v>
      </c>
      <c r="F207">
        <v>19</v>
      </c>
      <c r="G207" t="str">
        <f>"Publiczna Szkoła Podstawowa, ul. Szkolna 10, Bogacica"</f>
        <v>Publiczna Szkoła Podstawowa, ul. Szkolna 10, Bogacica</v>
      </c>
      <c r="H207">
        <v>1699</v>
      </c>
      <c r="I207">
        <v>1520</v>
      </c>
      <c r="J207">
        <v>567</v>
      </c>
      <c r="K207">
        <v>0</v>
      </c>
      <c r="L207">
        <v>953</v>
      </c>
      <c r="M207">
        <v>567</v>
      </c>
      <c r="N207">
        <v>563</v>
      </c>
      <c r="O207">
        <v>4</v>
      </c>
      <c r="P207">
        <v>160</v>
      </c>
      <c r="Q207">
        <v>403</v>
      </c>
    </row>
    <row r="208" spans="1:17" ht="14.25">
      <c r="A208">
        <v>204</v>
      </c>
      <c r="B208" t="str">
        <f t="shared" si="34"/>
        <v>160402</v>
      </c>
      <c r="C208" t="str">
        <f t="shared" si="35"/>
        <v>gm. Kluczbork</v>
      </c>
      <c r="D208" t="str">
        <f t="shared" si="33"/>
        <v>kluczborski</v>
      </c>
      <c r="E208" t="str">
        <f t="shared" si="36"/>
        <v>opolskie</v>
      </c>
      <c r="F208">
        <v>20</v>
      </c>
      <c r="G208" t="str">
        <f>"Świetlica Wiejska, ul Wiejska 48, Borkowice"</f>
        <v>Świetlica Wiejska, ul Wiejska 48, Borkowice</v>
      </c>
      <c r="H208">
        <v>728</v>
      </c>
      <c r="I208">
        <v>720</v>
      </c>
      <c r="J208">
        <v>235</v>
      </c>
      <c r="K208">
        <v>0</v>
      </c>
      <c r="L208">
        <v>485</v>
      </c>
      <c r="M208">
        <v>235</v>
      </c>
      <c r="N208">
        <v>232</v>
      </c>
      <c r="O208">
        <v>3</v>
      </c>
      <c r="P208">
        <v>46</v>
      </c>
      <c r="Q208">
        <v>186</v>
      </c>
    </row>
    <row r="209" spans="1:17" ht="14.25">
      <c r="A209">
        <v>205</v>
      </c>
      <c r="B209" t="str">
        <f t="shared" si="34"/>
        <v>160402</v>
      </c>
      <c r="C209" t="str">
        <f t="shared" si="35"/>
        <v>gm. Kluczbork</v>
      </c>
      <c r="D209" t="str">
        <f t="shared" si="33"/>
        <v>kluczborski</v>
      </c>
      <c r="E209" t="str">
        <f t="shared" si="36"/>
        <v>opolskie</v>
      </c>
      <c r="F209">
        <v>21</v>
      </c>
      <c r="G209" t="str">
        <f>"Publiczna Szkoła Podstawowa z Oddziałem Przedszkolnym, Bażany, Bażany"</f>
        <v>Publiczna Szkoła Podstawowa z Oddziałem Przedszkolnym, Bażany, Bażany</v>
      </c>
      <c r="H209">
        <v>573</v>
      </c>
      <c r="I209">
        <v>560</v>
      </c>
      <c r="J209">
        <v>152</v>
      </c>
      <c r="K209">
        <v>0</v>
      </c>
      <c r="L209">
        <v>408</v>
      </c>
      <c r="M209">
        <v>152</v>
      </c>
      <c r="N209">
        <v>150</v>
      </c>
      <c r="O209">
        <v>2</v>
      </c>
      <c r="P209">
        <v>32</v>
      </c>
      <c r="Q209">
        <v>118</v>
      </c>
    </row>
    <row r="210" spans="1:17" ht="14.25">
      <c r="A210">
        <v>206</v>
      </c>
      <c r="B210" t="str">
        <f t="shared" si="34"/>
        <v>160402</v>
      </c>
      <c r="C210" t="str">
        <f t="shared" si="35"/>
        <v>gm. Kluczbork</v>
      </c>
      <c r="D210" t="str">
        <f t="shared" si="33"/>
        <v>kluczborski</v>
      </c>
      <c r="E210" t="str">
        <f t="shared" si="36"/>
        <v>opolskie</v>
      </c>
      <c r="F210">
        <v>22</v>
      </c>
      <c r="G210" t="str">
        <f>"Publiczne Przedszkole Nr 5 z Oddziałami Zamiejscowym, Krasków, Krasków"</f>
        <v>Publiczne Przedszkole Nr 5 z Oddziałami Zamiejscowym, Krasków, Krasków</v>
      </c>
      <c r="H210">
        <v>472</v>
      </c>
      <c r="I210">
        <v>472</v>
      </c>
      <c r="J210">
        <v>235</v>
      </c>
      <c r="K210">
        <v>0</v>
      </c>
      <c r="L210">
        <v>237</v>
      </c>
      <c r="M210">
        <v>235</v>
      </c>
      <c r="N210">
        <v>234</v>
      </c>
      <c r="O210">
        <v>1</v>
      </c>
      <c r="P210">
        <v>105</v>
      </c>
      <c r="Q210">
        <v>129</v>
      </c>
    </row>
    <row r="211" spans="1:17" ht="14.25">
      <c r="A211">
        <v>207</v>
      </c>
      <c r="B211" t="str">
        <f t="shared" si="34"/>
        <v>160402</v>
      </c>
      <c r="C211" t="str">
        <f t="shared" si="35"/>
        <v>gm. Kluczbork</v>
      </c>
      <c r="D211" t="str">
        <f t="shared" si="33"/>
        <v>kluczborski</v>
      </c>
      <c r="E211" t="str">
        <f t="shared" si="36"/>
        <v>opolskie</v>
      </c>
      <c r="F211">
        <v>23</v>
      </c>
      <c r="G211" t="str">
        <f>"Publiczne Przedszkole Nr 5 w Kluczborku z Oddziałami Zamiejscowymi, Ligota Dolna, Ligota Dolna"</f>
        <v>Publiczne Przedszkole Nr 5 w Kluczborku z Oddziałami Zamiejscowymi, Ligota Dolna, Ligota Dolna</v>
      </c>
      <c r="H211">
        <v>493</v>
      </c>
      <c r="I211">
        <v>479</v>
      </c>
      <c r="J211">
        <v>250</v>
      </c>
      <c r="K211">
        <v>0</v>
      </c>
      <c r="L211">
        <v>229</v>
      </c>
      <c r="M211">
        <v>250</v>
      </c>
      <c r="N211">
        <v>246</v>
      </c>
      <c r="O211">
        <v>4</v>
      </c>
      <c r="P211">
        <v>102</v>
      </c>
      <c r="Q211">
        <v>144</v>
      </c>
    </row>
    <row r="212" spans="1:17" ht="14.25">
      <c r="A212">
        <v>208</v>
      </c>
      <c r="B212" t="str">
        <f t="shared" si="34"/>
        <v>160402</v>
      </c>
      <c r="C212" t="str">
        <f t="shared" si="35"/>
        <v>gm. Kluczbork</v>
      </c>
      <c r="D212" t="str">
        <f t="shared" si="33"/>
        <v>kluczborski</v>
      </c>
      <c r="E212" t="str">
        <f t="shared" si="36"/>
        <v>opolskie</v>
      </c>
      <c r="F212">
        <v>24</v>
      </c>
      <c r="G212" t="str">
        <f>"Świetlica Wiejska, ul. Kościelna 1, Smardy Górne"</f>
        <v>Świetlica Wiejska, ul. Kościelna 1, Smardy Górne</v>
      </c>
      <c r="H212">
        <v>834</v>
      </c>
      <c r="I212">
        <v>800</v>
      </c>
      <c r="J212">
        <v>353</v>
      </c>
      <c r="K212">
        <v>0</v>
      </c>
      <c r="L212">
        <v>447</v>
      </c>
      <c r="M212">
        <v>353</v>
      </c>
      <c r="N212">
        <v>352</v>
      </c>
      <c r="O212">
        <v>1</v>
      </c>
      <c r="P212">
        <v>173</v>
      </c>
      <c r="Q212">
        <v>179</v>
      </c>
    </row>
    <row r="213" spans="1:17" ht="14.25">
      <c r="A213">
        <v>209</v>
      </c>
      <c r="B213" t="str">
        <f t="shared" si="34"/>
        <v>160402</v>
      </c>
      <c r="C213" t="str">
        <f t="shared" si="35"/>
        <v>gm. Kluczbork</v>
      </c>
      <c r="D213" t="str">
        <f aca="true" t="shared" si="37" ref="D213:D241">"kluczborski"</f>
        <v>kluczborski</v>
      </c>
      <c r="E213" t="str">
        <f t="shared" si="36"/>
        <v>opolskie</v>
      </c>
      <c r="F213">
        <v>25</v>
      </c>
      <c r="G213" t="str">
        <f>"Świetlica Wiejska, Gotartów, Gotartów"</f>
        <v>Świetlica Wiejska, Gotartów, Gotartów</v>
      </c>
      <c r="H213">
        <v>392</v>
      </c>
      <c r="I213">
        <v>384</v>
      </c>
      <c r="J213">
        <v>170</v>
      </c>
      <c r="K213">
        <v>0</v>
      </c>
      <c r="L213">
        <v>214</v>
      </c>
      <c r="M213">
        <v>170</v>
      </c>
      <c r="N213">
        <v>170</v>
      </c>
      <c r="O213">
        <v>0</v>
      </c>
      <c r="P213">
        <v>60</v>
      </c>
      <c r="Q213">
        <v>110</v>
      </c>
    </row>
    <row r="214" spans="1:17" ht="14.25">
      <c r="A214">
        <v>210</v>
      </c>
      <c r="B214" t="str">
        <f t="shared" si="34"/>
        <v>160402</v>
      </c>
      <c r="C214" t="str">
        <f t="shared" si="35"/>
        <v>gm. Kluczbork</v>
      </c>
      <c r="D214" t="str">
        <f t="shared" si="37"/>
        <v>kluczborski</v>
      </c>
      <c r="E214" t="str">
        <f t="shared" si="36"/>
        <v>opolskie</v>
      </c>
      <c r="F214">
        <v>26</v>
      </c>
      <c r="G214" t="str">
        <f>"Dom Pomocy Społecznej, ul. Wołczyńska 25, Kluczbork"</f>
        <v>Dom Pomocy Społecznej, ul. Wołczyńska 25, Kluczbork</v>
      </c>
      <c r="H214">
        <v>128</v>
      </c>
      <c r="I214">
        <v>128</v>
      </c>
      <c r="J214">
        <v>67</v>
      </c>
      <c r="K214">
        <v>0</v>
      </c>
      <c r="L214">
        <v>61</v>
      </c>
      <c r="M214">
        <v>67</v>
      </c>
      <c r="N214">
        <v>67</v>
      </c>
      <c r="O214">
        <v>0</v>
      </c>
      <c r="P214">
        <v>32</v>
      </c>
      <c r="Q214">
        <v>35</v>
      </c>
    </row>
    <row r="215" spans="1:17" ht="14.25">
      <c r="A215">
        <v>211</v>
      </c>
      <c r="B215" t="str">
        <f t="shared" si="34"/>
        <v>160402</v>
      </c>
      <c r="C215" t="str">
        <f t="shared" si="35"/>
        <v>gm. Kluczbork</v>
      </c>
      <c r="D215" t="str">
        <f t="shared" si="37"/>
        <v>kluczborski</v>
      </c>
      <c r="E215" t="str">
        <f t="shared" si="36"/>
        <v>opolskie</v>
      </c>
      <c r="F215">
        <v>27</v>
      </c>
      <c r="G215" t="str">
        <f>"Powiatowe Centrum Zdrowia S.A. NZOZ Szpital Powiatowy, ul. Skłodowskiej-Curie 23, Kluczbork"</f>
        <v>Powiatowe Centrum Zdrowia S.A. NZOZ Szpital Powiatowy, ul. Skłodowskiej-Curie 23, Kluczbork</v>
      </c>
      <c r="H215">
        <v>139</v>
      </c>
      <c r="I215">
        <v>97</v>
      </c>
      <c r="J215">
        <v>28</v>
      </c>
      <c r="K215">
        <v>0</v>
      </c>
      <c r="L215">
        <v>69</v>
      </c>
      <c r="M215">
        <v>28</v>
      </c>
      <c r="N215">
        <v>28</v>
      </c>
      <c r="O215">
        <v>0</v>
      </c>
      <c r="P215">
        <v>6</v>
      </c>
      <c r="Q215">
        <v>22</v>
      </c>
    </row>
    <row r="216" spans="1:17" ht="14.25">
      <c r="A216">
        <v>212</v>
      </c>
      <c r="B216" t="str">
        <f t="shared" si="34"/>
        <v>160402</v>
      </c>
      <c r="C216" t="str">
        <f t="shared" si="35"/>
        <v>gm. Kluczbork</v>
      </c>
      <c r="D216" t="str">
        <f t="shared" si="37"/>
        <v>kluczborski</v>
      </c>
      <c r="E216" t="str">
        <f t="shared" si="36"/>
        <v>opolskie</v>
      </c>
      <c r="F216">
        <v>28</v>
      </c>
      <c r="G216" t="str">
        <f>"Zakład Karny, ul. Katowicka 4, Kluczbork"</f>
        <v>Zakład Karny, ul. Katowicka 4, Kluczbork</v>
      </c>
      <c r="H216">
        <v>185</v>
      </c>
      <c r="I216">
        <v>185</v>
      </c>
      <c r="J216">
        <v>138</v>
      </c>
      <c r="K216">
        <v>0</v>
      </c>
      <c r="L216">
        <v>47</v>
      </c>
      <c r="M216">
        <v>138</v>
      </c>
      <c r="N216">
        <v>137</v>
      </c>
      <c r="O216">
        <v>1</v>
      </c>
      <c r="P216">
        <v>12</v>
      </c>
      <c r="Q216">
        <v>125</v>
      </c>
    </row>
    <row r="217" spans="1:17" ht="14.25">
      <c r="A217">
        <v>213</v>
      </c>
      <c r="B217" t="str">
        <f aca="true" t="shared" si="38" ref="B217:B226">"160403"</f>
        <v>160403</v>
      </c>
      <c r="C217" t="str">
        <f aca="true" t="shared" si="39" ref="C217:C226">"gm. Lasowice Wielkie"</f>
        <v>gm. Lasowice Wielkie</v>
      </c>
      <c r="D217" t="str">
        <f t="shared" si="37"/>
        <v>kluczborski</v>
      </c>
      <c r="E217" t="str">
        <f t="shared" si="36"/>
        <v>opolskie</v>
      </c>
      <c r="F217">
        <v>1</v>
      </c>
      <c r="G217" t="str">
        <f>"Zespół Gimnazjalno-Szkolno-Przedszkolny, Chocianowice nr 78, Chocianowice"</f>
        <v>Zespół Gimnazjalno-Szkolno-Przedszkolny, Chocianowice nr 78, Chocianowice</v>
      </c>
      <c r="H217">
        <v>954</v>
      </c>
      <c r="I217">
        <v>880</v>
      </c>
      <c r="J217">
        <v>331</v>
      </c>
      <c r="K217">
        <v>0</v>
      </c>
      <c r="L217">
        <v>549</v>
      </c>
      <c r="M217">
        <v>331</v>
      </c>
      <c r="N217">
        <v>328</v>
      </c>
      <c r="O217">
        <v>3</v>
      </c>
      <c r="P217">
        <v>75</v>
      </c>
      <c r="Q217">
        <v>253</v>
      </c>
    </row>
    <row r="218" spans="1:17" ht="14.25">
      <c r="A218">
        <v>214</v>
      </c>
      <c r="B218" t="str">
        <f t="shared" si="38"/>
        <v>160403</v>
      </c>
      <c r="C218" t="str">
        <f t="shared" si="39"/>
        <v>gm. Lasowice Wielkie</v>
      </c>
      <c r="D218" t="str">
        <f t="shared" si="37"/>
        <v>kluczborski</v>
      </c>
      <c r="E218" t="str">
        <f t="shared" si="36"/>
        <v>opolskie</v>
      </c>
      <c r="F218">
        <v>2</v>
      </c>
      <c r="G218" t="str">
        <f>"Sala OSP, Ciarka nr 28c, Ciarka"</f>
        <v>Sala OSP, Ciarka nr 28c, Ciarka</v>
      </c>
      <c r="H218">
        <v>200</v>
      </c>
      <c r="I218">
        <v>196</v>
      </c>
      <c r="J218">
        <v>92</v>
      </c>
      <c r="K218">
        <v>0</v>
      </c>
      <c r="L218">
        <v>104</v>
      </c>
      <c r="M218">
        <v>92</v>
      </c>
      <c r="N218">
        <v>89</v>
      </c>
      <c r="O218">
        <v>3</v>
      </c>
      <c r="P218">
        <v>40</v>
      </c>
      <c r="Q218">
        <v>49</v>
      </c>
    </row>
    <row r="219" spans="1:17" ht="14.25">
      <c r="A219">
        <v>215</v>
      </c>
      <c r="B219" t="str">
        <f t="shared" si="38"/>
        <v>160403</v>
      </c>
      <c r="C219" t="str">
        <f t="shared" si="39"/>
        <v>gm. Lasowice Wielkie</v>
      </c>
      <c r="D219" t="str">
        <f t="shared" si="37"/>
        <v>kluczborski</v>
      </c>
      <c r="E219" t="str">
        <f t="shared" si="36"/>
        <v>opolskie</v>
      </c>
      <c r="F219">
        <v>3</v>
      </c>
      <c r="G219" t="str">
        <f>"Zespół Szkolno-Przedszkolny, Gronowice nr 58, Gronowice"</f>
        <v>Zespół Szkolno-Przedszkolny, Gronowice nr 58, Gronowice</v>
      </c>
      <c r="H219">
        <v>537</v>
      </c>
      <c r="I219">
        <v>560</v>
      </c>
      <c r="J219">
        <v>171</v>
      </c>
      <c r="K219">
        <v>0</v>
      </c>
      <c r="L219">
        <v>389</v>
      </c>
      <c r="M219">
        <v>171</v>
      </c>
      <c r="N219">
        <v>170</v>
      </c>
      <c r="O219">
        <v>1</v>
      </c>
      <c r="P219">
        <v>38</v>
      </c>
      <c r="Q219">
        <v>132</v>
      </c>
    </row>
    <row r="220" spans="1:17" ht="14.25">
      <c r="A220">
        <v>216</v>
      </c>
      <c r="B220" t="str">
        <f t="shared" si="38"/>
        <v>160403</v>
      </c>
      <c r="C220" t="str">
        <f t="shared" si="39"/>
        <v>gm. Lasowice Wielkie</v>
      </c>
      <c r="D220" t="str">
        <f t="shared" si="37"/>
        <v>kluczborski</v>
      </c>
      <c r="E220" t="str">
        <f t="shared" si="36"/>
        <v>opolskie</v>
      </c>
      <c r="F220">
        <v>4</v>
      </c>
      <c r="G220" t="str">
        <f>"Sala OSP, ul. Odrodzenia nr 34, Lasowice Małe"</f>
        <v>Sala OSP, ul. Odrodzenia nr 34, Lasowice Małe</v>
      </c>
      <c r="H220">
        <v>457</v>
      </c>
      <c r="I220">
        <v>480</v>
      </c>
      <c r="J220">
        <v>208</v>
      </c>
      <c r="K220">
        <v>0</v>
      </c>
      <c r="L220">
        <v>272</v>
      </c>
      <c r="M220">
        <v>208</v>
      </c>
      <c r="N220">
        <v>208</v>
      </c>
      <c r="O220">
        <v>0</v>
      </c>
      <c r="P220">
        <v>82</v>
      </c>
      <c r="Q220">
        <v>126</v>
      </c>
    </row>
    <row r="221" spans="1:17" ht="14.25">
      <c r="A221">
        <v>217</v>
      </c>
      <c r="B221" t="str">
        <f t="shared" si="38"/>
        <v>160403</v>
      </c>
      <c r="C221" t="str">
        <f t="shared" si="39"/>
        <v>gm. Lasowice Wielkie</v>
      </c>
      <c r="D221" t="str">
        <f t="shared" si="37"/>
        <v>kluczborski</v>
      </c>
      <c r="E221" t="str">
        <f t="shared" si="36"/>
        <v>opolskie</v>
      </c>
      <c r="F221">
        <v>5</v>
      </c>
      <c r="G221" t="str">
        <f>"Zespół Szkolno-Przedszkolny, ul. Zwycięstwa nr 15, Jasienie"</f>
        <v>Zespół Szkolno-Przedszkolny, ul. Zwycięstwa nr 15, Jasienie</v>
      </c>
      <c r="H221">
        <v>693</v>
      </c>
      <c r="I221">
        <v>720</v>
      </c>
      <c r="J221">
        <v>221</v>
      </c>
      <c r="K221">
        <v>0</v>
      </c>
      <c r="L221">
        <v>499</v>
      </c>
      <c r="M221">
        <v>221</v>
      </c>
      <c r="N221">
        <v>216</v>
      </c>
      <c r="O221">
        <v>5</v>
      </c>
      <c r="P221">
        <v>62</v>
      </c>
      <c r="Q221">
        <v>154</v>
      </c>
    </row>
    <row r="222" spans="1:17" ht="14.25">
      <c r="A222">
        <v>218</v>
      </c>
      <c r="B222" t="str">
        <f t="shared" si="38"/>
        <v>160403</v>
      </c>
      <c r="C222" t="str">
        <f t="shared" si="39"/>
        <v>gm. Lasowice Wielkie</v>
      </c>
      <c r="D222" t="str">
        <f t="shared" si="37"/>
        <v>kluczborski</v>
      </c>
      <c r="E222" t="str">
        <f t="shared" si="36"/>
        <v>opolskie</v>
      </c>
      <c r="F222">
        <v>6</v>
      </c>
      <c r="G222" t="str">
        <f>"Sala Wiejska, Tuły nr 39a, Tuły"</f>
        <v>Sala Wiejska, Tuły nr 39a, Tuły</v>
      </c>
      <c r="H222">
        <v>265</v>
      </c>
      <c r="I222">
        <v>320</v>
      </c>
      <c r="J222">
        <v>91</v>
      </c>
      <c r="K222">
        <v>0</v>
      </c>
      <c r="L222">
        <v>229</v>
      </c>
      <c r="M222">
        <v>91</v>
      </c>
      <c r="N222">
        <v>90</v>
      </c>
      <c r="O222">
        <v>1</v>
      </c>
      <c r="P222">
        <v>24</v>
      </c>
      <c r="Q222">
        <v>66</v>
      </c>
    </row>
    <row r="223" spans="1:17" ht="14.25">
      <c r="A223">
        <v>219</v>
      </c>
      <c r="B223" t="str">
        <f t="shared" si="38"/>
        <v>160403</v>
      </c>
      <c r="C223" t="str">
        <f t="shared" si="39"/>
        <v>gm. Lasowice Wielkie</v>
      </c>
      <c r="D223" t="str">
        <f t="shared" si="37"/>
        <v>kluczborski</v>
      </c>
      <c r="E223" t="str">
        <f t="shared" si="36"/>
        <v>opolskie</v>
      </c>
      <c r="F223">
        <v>7</v>
      </c>
      <c r="G223" t="str">
        <f>"Przedszkole Samorządowe, ul. Szkolna nr 20, Laskowice"</f>
        <v>Przedszkole Samorządowe, ul. Szkolna nr 20, Laskowice</v>
      </c>
      <c r="H223">
        <v>805</v>
      </c>
      <c r="I223">
        <v>720</v>
      </c>
      <c r="J223">
        <v>176</v>
      </c>
      <c r="K223">
        <v>0</v>
      </c>
      <c r="L223">
        <v>544</v>
      </c>
      <c r="M223">
        <v>176</v>
      </c>
      <c r="N223">
        <v>174</v>
      </c>
      <c r="O223">
        <v>2</v>
      </c>
      <c r="P223">
        <v>36</v>
      </c>
      <c r="Q223">
        <v>138</v>
      </c>
    </row>
    <row r="224" spans="1:17" ht="14.25">
      <c r="A224">
        <v>220</v>
      </c>
      <c r="B224" t="str">
        <f t="shared" si="38"/>
        <v>160403</v>
      </c>
      <c r="C224" t="str">
        <f t="shared" si="39"/>
        <v>gm. Lasowice Wielkie</v>
      </c>
      <c r="D224" t="str">
        <f t="shared" si="37"/>
        <v>kluczborski</v>
      </c>
      <c r="E224" t="str">
        <f t="shared" si="36"/>
        <v>opolskie</v>
      </c>
      <c r="F224">
        <v>8</v>
      </c>
      <c r="G224" t="str">
        <f>"Przedszkole Samorządowe, Lasowice Wielkie nr 42, Lasowice Wielkie"</f>
        <v>Przedszkole Samorządowe, Lasowice Wielkie nr 42, Lasowice Wielkie</v>
      </c>
      <c r="H224">
        <v>797</v>
      </c>
      <c r="I224">
        <v>720</v>
      </c>
      <c r="J224">
        <v>332</v>
      </c>
      <c r="K224">
        <v>0</v>
      </c>
      <c r="L224">
        <v>388</v>
      </c>
      <c r="M224">
        <v>332</v>
      </c>
      <c r="N224">
        <v>328</v>
      </c>
      <c r="O224">
        <v>4</v>
      </c>
      <c r="P224">
        <v>108</v>
      </c>
      <c r="Q224">
        <v>220</v>
      </c>
    </row>
    <row r="225" spans="1:17" ht="14.25">
      <c r="A225">
        <v>221</v>
      </c>
      <c r="B225" t="str">
        <f t="shared" si="38"/>
        <v>160403</v>
      </c>
      <c r="C225" t="str">
        <f t="shared" si="39"/>
        <v>gm. Lasowice Wielkie</v>
      </c>
      <c r="D225" t="str">
        <f t="shared" si="37"/>
        <v>kluczborski</v>
      </c>
      <c r="E225" t="str">
        <f t="shared" si="36"/>
        <v>opolskie</v>
      </c>
      <c r="F225">
        <v>9</v>
      </c>
      <c r="G225" t="str">
        <f>"Zespół Szkolno-Przedszkolny, Chudoba nr 142, Chudoba"</f>
        <v>Zespół Szkolno-Przedszkolny, Chudoba nr 142, Chudoba</v>
      </c>
      <c r="H225">
        <v>795</v>
      </c>
      <c r="I225">
        <v>720</v>
      </c>
      <c r="J225">
        <v>278</v>
      </c>
      <c r="K225">
        <v>0</v>
      </c>
      <c r="L225">
        <v>442</v>
      </c>
      <c r="M225">
        <v>278</v>
      </c>
      <c r="N225">
        <v>278</v>
      </c>
      <c r="O225">
        <v>0</v>
      </c>
      <c r="P225">
        <v>49</v>
      </c>
      <c r="Q225">
        <v>229</v>
      </c>
    </row>
    <row r="226" spans="1:17" ht="14.25">
      <c r="A226">
        <v>222</v>
      </c>
      <c r="B226" t="str">
        <f t="shared" si="38"/>
        <v>160403</v>
      </c>
      <c r="C226" t="str">
        <f t="shared" si="39"/>
        <v>gm. Lasowice Wielkie</v>
      </c>
      <c r="D226" t="str">
        <f t="shared" si="37"/>
        <v>kluczborski</v>
      </c>
      <c r="E226" t="str">
        <f t="shared" si="36"/>
        <v>opolskie</v>
      </c>
      <c r="F226">
        <v>10</v>
      </c>
      <c r="G226" t="str">
        <f>"Sala Wiejska, Wędrynia nr 66, Wędrynia"</f>
        <v>Sala Wiejska, Wędrynia nr 66, Wędrynia</v>
      </c>
      <c r="H226">
        <v>383</v>
      </c>
      <c r="I226">
        <v>400</v>
      </c>
      <c r="J226">
        <v>140</v>
      </c>
      <c r="K226">
        <v>0</v>
      </c>
      <c r="L226">
        <v>260</v>
      </c>
      <c r="M226">
        <v>140</v>
      </c>
      <c r="N226">
        <v>139</v>
      </c>
      <c r="O226">
        <v>1</v>
      </c>
      <c r="P226">
        <v>37</v>
      </c>
      <c r="Q226">
        <v>102</v>
      </c>
    </row>
    <row r="227" spans="1:17" ht="14.25">
      <c r="A227">
        <v>223</v>
      </c>
      <c r="B227" t="str">
        <f aca="true" t="shared" si="40" ref="B227:B241">"160404"</f>
        <v>160404</v>
      </c>
      <c r="C227" t="str">
        <f aca="true" t="shared" si="41" ref="C227:C241">"gm. Wołczyn"</f>
        <v>gm. Wołczyn</v>
      </c>
      <c r="D227" t="str">
        <f t="shared" si="37"/>
        <v>kluczborski</v>
      </c>
      <c r="E227" t="str">
        <f t="shared" si="36"/>
        <v>opolskie</v>
      </c>
      <c r="F227">
        <v>1</v>
      </c>
      <c r="G227" t="str">
        <f>"Wołczyński Ośrodek Kultury, ul. Opolska 2, Wołczyn"</f>
        <v>Wołczyński Ośrodek Kultury, ul. Opolska 2, Wołczyn</v>
      </c>
      <c r="H227">
        <v>2181</v>
      </c>
      <c r="I227">
        <v>2000</v>
      </c>
      <c r="J227">
        <v>1104</v>
      </c>
      <c r="K227">
        <v>1</v>
      </c>
      <c r="L227">
        <v>896</v>
      </c>
      <c r="M227">
        <v>1104</v>
      </c>
      <c r="N227">
        <v>1090</v>
      </c>
      <c r="O227">
        <v>14</v>
      </c>
      <c r="P227">
        <v>476</v>
      </c>
      <c r="Q227">
        <v>614</v>
      </c>
    </row>
    <row r="228" spans="1:17" ht="14.25">
      <c r="A228">
        <v>224</v>
      </c>
      <c r="B228" t="str">
        <f t="shared" si="40"/>
        <v>160404</v>
      </c>
      <c r="C228" t="str">
        <f t="shared" si="41"/>
        <v>gm. Wołczyn</v>
      </c>
      <c r="D228" t="str">
        <f t="shared" si="37"/>
        <v>kluczborski</v>
      </c>
      <c r="E228" t="str">
        <f t="shared" si="36"/>
        <v>opolskie</v>
      </c>
      <c r="F228">
        <v>2</v>
      </c>
      <c r="G228" t="str">
        <f>"Szkoła Podstawowa Nr 2, ul. Sienkiewicza 4, Wołczyn"</f>
        <v>Szkoła Podstawowa Nr 2, ul. Sienkiewicza 4, Wołczyn</v>
      </c>
      <c r="H228">
        <v>1629</v>
      </c>
      <c r="I228">
        <v>1520</v>
      </c>
      <c r="J228">
        <v>845</v>
      </c>
      <c r="K228">
        <v>1</v>
      </c>
      <c r="L228">
        <v>675</v>
      </c>
      <c r="M228">
        <v>843</v>
      </c>
      <c r="N228">
        <v>833</v>
      </c>
      <c r="O228">
        <v>10</v>
      </c>
      <c r="P228">
        <v>332</v>
      </c>
      <c r="Q228">
        <v>501</v>
      </c>
    </row>
    <row r="229" spans="1:17" ht="14.25">
      <c r="A229">
        <v>225</v>
      </c>
      <c r="B229" t="str">
        <f t="shared" si="40"/>
        <v>160404</v>
      </c>
      <c r="C229" t="str">
        <f t="shared" si="41"/>
        <v>gm. Wołczyn</v>
      </c>
      <c r="D229" t="str">
        <f t="shared" si="37"/>
        <v>kluczborski</v>
      </c>
      <c r="E229" t="str">
        <f t="shared" si="36"/>
        <v>opolskie</v>
      </c>
      <c r="F229">
        <v>3</v>
      </c>
      <c r="G229" t="str">
        <f>"Przedsiębiorstwo Gospodarki Komunalnej i Mieszkaniowej Sp. zo o., ul. Rzeczna 3, Wołczyn"</f>
        <v>Przedsiębiorstwo Gospodarki Komunalnej i Mieszkaniowej Sp. zo o., ul. Rzeczna 3, Wołczyn</v>
      </c>
      <c r="H229">
        <v>1059</v>
      </c>
      <c r="I229">
        <v>1040</v>
      </c>
      <c r="J229">
        <v>522</v>
      </c>
      <c r="K229">
        <v>0</v>
      </c>
      <c r="L229">
        <v>518</v>
      </c>
      <c r="M229">
        <v>522</v>
      </c>
      <c r="N229">
        <v>517</v>
      </c>
      <c r="O229">
        <v>5</v>
      </c>
      <c r="P229">
        <v>249</v>
      </c>
      <c r="Q229">
        <v>268</v>
      </c>
    </row>
    <row r="230" spans="1:17" ht="14.25">
      <c r="A230">
        <v>226</v>
      </c>
      <c r="B230" t="str">
        <f t="shared" si="40"/>
        <v>160404</v>
      </c>
      <c r="C230" t="str">
        <f t="shared" si="41"/>
        <v>gm. Wołczyn</v>
      </c>
      <c r="D230" t="str">
        <f t="shared" si="37"/>
        <v>kluczborski</v>
      </c>
      <c r="E230" t="str">
        <f t="shared" si="36"/>
        <v>opolskie</v>
      </c>
      <c r="F230">
        <v>4</v>
      </c>
      <c r="G230" t="str">
        <f>"Szkoła Podstawowa, Wierzbica Górna 39 A, Wierzbica Górna"</f>
        <v>Szkoła Podstawowa, Wierzbica Górna 39 A, Wierzbica Górna</v>
      </c>
      <c r="H230">
        <v>1037</v>
      </c>
      <c r="I230">
        <v>966</v>
      </c>
      <c r="J230">
        <v>409</v>
      </c>
      <c r="K230">
        <v>0</v>
      </c>
      <c r="L230">
        <v>557</v>
      </c>
      <c r="M230">
        <v>409</v>
      </c>
      <c r="N230">
        <v>403</v>
      </c>
      <c r="O230">
        <v>6</v>
      </c>
      <c r="P230">
        <v>147</v>
      </c>
      <c r="Q230">
        <v>256</v>
      </c>
    </row>
    <row r="231" spans="1:17" ht="14.25">
      <c r="A231">
        <v>227</v>
      </c>
      <c r="B231" t="str">
        <f t="shared" si="40"/>
        <v>160404</v>
      </c>
      <c r="C231" t="str">
        <f t="shared" si="41"/>
        <v>gm. Wołczyn</v>
      </c>
      <c r="D231" t="str">
        <f t="shared" si="37"/>
        <v>kluczborski</v>
      </c>
      <c r="E231" t="str">
        <f t="shared" si="36"/>
        <v>opolskie</v>
      </c>
      <c r="F231">
        <v>5</v>
      </c>
      <c r="G231" t="str">
        <f>"Szkoła Podstawowa, ul. Główna 31, Komorzno"</f>
        <v>Szkoła Podstawowa, ul. Główna 31, Komorzno</v>
      </c>
      <c r="H231">
        <v>735</v>
      </c>
      <c r="I231">
        <v>720</v>
      </c>
      <c r="J231">
        <v>261</v>
      </c>
      <c r="K231">
        <v>0</v>
      </c>
      <c r="L231">
        <v>459</v>
      </c>
      <c r="M231">
        <v>261</v>
      </c>
      <c r="N231">
        <v>258</v>
      </c>
      <c r="O231">
        <v>3</v>
      </c>
      <c r="P231">
        <v>110</v>
      </c>
      <c r="Q231">
        <v>148</v>
      </c>
    </row>
    <row r="232" spans="1:17" ht="14.25">
      <c r="A232">
        <v>228</v>
      </c>
      <c r="B232" t="str">
        <f t="shared" si="40"/>
        <v>160404</v>
      </c>
      <c r="C232" t="str">
        <f t="shared" si="41"/>
        <v>gm. Wołczyn</v>
      </c>
      <c r="D232" t="str">
        <f t="shared" si="37"/>
        <v>kluczborski</v>
      </c>
      <c r="E232" t="str">
        <f t="shared" si="36"/>
        <v>opolskie</v>
      </c>
      <c r="F232">
        <v>6</v>
      </c>
      <c r="G232" t="str">
        <f>"Świetlica Wiejska, ul. Wołczyńska 41, Krzywiczyny"</f>
        <v>Świetlica Wiejska, ul. Wołczyńska 41, Krzywiczyny</v>
      </c>
      <c r="H232">
        <v>515</v>
      </c>
      <c r="I232">
        <v>583</v>
      </c>
      <c r="J232">
        <v>230</v>
      </c>
      <c r="K232">
        <v>0</v>
      </c>
      <c r="L232">
        <v>353</v>
      </c>
      <c r="M232">
        <v>230</v>
      </c>
      <c r="N232">
        <v>229</v>
      </c>
      <c r="O232">
        <v>1</v>
      </c>
      <c r="P232">
        <v>158</v>
      </c>
      <c r="Q232">
        <v>71</v>
      </c>
    </row>
    <row r="233" spans="1:17" ht="14.25">
      <c r="A233">
        <v>229</v>
      </c>
      <c r="B233" t="str">
        <f t="shared" si="40"/>
        <v>160404</v>
      </c>
      <c r="C233" t="str">
        <f t="shared" si="41"/>
        <v>gm. Wołczyn</v>
      </c>
      <c r="D233" t="str">
        <f t="shared" si="37"/>
        <v>kluczborski</v>
      </c>
      <c r="E233" t="str">
        <f t="shared" si="36"/>
        <v>opolskie</v>
      </c>
      <c r="F233">
        <v>7</v>
      </c>
      <c r="G233" t="str">
        <f>"Szkoła Podstawowa, ul. Wołczyńska 3, Szymonków"</f>
        <v>Szkoła Podstawowa, ul. Wołczyńska 3, Szymonków</v>
      </c>
      <c r="H233">
        <v>476</v>
      </c>
      <c r="I233">
        <v>480</v>
      </c>
      <c r="J233">
        <v>230</v>
      </c>
      <c r="K233">
        <v>0</v>
      </c>
      <c r="L233">
        <v>250</v>
      </c>
      <c r="M233">
        <v>230</v>
      </c>
      <c r="N233">
        <v>229</v>
      </c>
      <c r="O233">
        <v>1</v>
      </c>
      <c r="P233">
        <v>154</v>
      </c>
      <c r="Q233">
        <v>75</v>
      </c>
    </row>
    <row r="234" spans="1:17" ht="14.25">
      <c r="A234">
        <v>230</v>
      </c>
      <c r="B234" t="str">
        <f t="shared" si="40"/>
        <v>160404</v>
      </c>
      <c r="C234" t="str">
        <f t="shared" si="41"/>
        <v>gm. Wołczyn</v>
      </c>
      <c r="D234" t="str">
        <f t="shared" si="37"/>
        <v>kluczborski</v>
      </c>
      <c r="E234" t="str">
        <f t="shared" si="36"/>
        <v>opolskie</v>
      </c>
      <c r="F234">
        <v>8</v>
      </c>
      <c r="G234" t="str">
        <f>"Świetlica Wiejska, Wierzbica Dolna 26, Wierzbica Dolna"</f>
        <v>Świetlica Wiejska, Wierzbica Dolna 26, Wierzbica Dolna</v>
      </c>
      <c r="H234">
        <v>518</v>
      </c>
      <c r="I234">
        <v>590</v>
      </c>
      <c r="J234">
        <v>239</v>
      </c>
      <c r="K234">
        <v>0</v>
      </c>
      <c r="L234">
        <v>351</v>
      </c>
      <c r="M234">
        <v>239</v>
      </c>
      <c r="N234">
        <v>229</v>
      </c>
      <c r="O234">
        <v>10</v>
      </c>
      <c r="P234">
        <v>104</v>
      </c>
      <c r="Q234">
        <v>125</v>
      </c>
    </row>
    <row r="235" spans="1:17" ht="14.25">
      <c r="A235">
        <v>231</v>
      </c>
      <c r="B235" t="str">
        <f t="shared" si="40"/>
        <v>160404</v>
      </c>
      <c r="C235" t="str">
        <f t="shared" si="41"/>
        <v>gm. Wołczyn</v>
      </c>
      <c r="D235" t="str">
        <f t="shared" si="37"/>
        <v>kluczborski</v>
      </c>
      <c r="E235" t="str">
        <f t="shared" si="36"/>
        <v>opolskie</v>
      </c>
      <c r="F235">
        <v>9</v>
      </c>
      <c r="G235" t="str">
        <f>"Świetlica Wiejska, Ligota Wołczyńska 25 A, Ligota Wołczyńska"</f>
        <v>Świetlica Wiejska, Ligota Wołczyńska 25 A, Ligota Wołczyńska</v>
      </c>
      <c r="H235">
        <v>263</v>
      </c>
      <c r="I235">
        <v>320</v>
      </c>
      <c r="J235">
        <v>137</v>
      </c>
      <c r="K235">
        <v>0</v>
      </c>
      <c r="L235">
        <v>183</v>
      </c>
      <c r="M235">
        <v>137</v>
      </c>
      <c r="N235">
        <v>136</v>
      </c>
      <c r="O235">
        <v>1</v>
      </c>
      <c r="P235">
        <v>79</v>
      </c>
      <c r="Q235">
        <v>57</v>
      </c>
    </row>
    <row r="236" spans="1:17" ht="14.25">
      <c r="A236">
        <v>232</v>
      </c>
      <c r="B236" t="str">
        <f t="shared" si="40"/>
        <v>160404</v>
      </c>
      <c r="C236" t="str">
        <f t="shared" si="41"/>
        <v>gm. Wołczyn</v>
      </c>
      <c r="D236" t="str">
        <f t="shared" si="37"/>
        <v>kluczborski</v>
      </c>
      <c r="E236" t="str">
        <f t="shared" si="36"/>
        <v>opolskie</v>
      </c>
      <c r="F236">
        <v>10</v>
      </c>
      <c r="G236" t="str">
        <f>"Remiza Ochotniczej Straży Pożarnej, ul. Opolska 36, Gierałcice"</f>
        <v>Remiza Ochotniczej Straży Pożarnej, ul. Opolska 36, Gierałcice</v>
      </c>
      <c r="H236">
        <v>651</v>
      </c>
      <c r="I236">
        <v>640</v>
      </c>
      <c r="J236">
        <v>296</v>
      </c>
      <c r="K236">
        <v>1</v>
      </c>
      <c r="L236">
        <v>344</v>
      </c>
      <c r="M236">
        <v>296</v>
      </c>
      <c r="N236">
        <v>296</v>
      </c>
      <c r="O236">
        <v>0</v>
      </c>
      <c r="P236">
        <v>146</v>
      </c>
      <c r="Q236">
        <v>150</v>
      </c>
    </row>
    <row r="237" spans="1:17" ht="14.25">
      <c r="A237">
        <v>233</v>
      </c>
      <c r="B237" t="str">
        <f t="shared" si="40"/>
        <v>160404</v>
      </c>
      <c r="C237" t="str">
        <f t="shared" si="41"/>
        <v>gm. Wołczyn</v>
      </c>
      <c r="D237" t="str">
        <f t="shared" si="37"/>
        <v>kluczborski</v>
      </c>
      <c r="E237" t="str">
        <f t="shared" si="36"/>
        <v>opolskie</v>
      </c>
      <c r="F237">
        <v>11</v>
      </c>
      <c r="G237" t="str">
        <f>"Oddział przedszkolny Szkoły Podstawowej w Wąsicach, ul. Główna 14 A, Wąsice"</f>
        <v>Oddział przedszkolny Szkoły Podstawowej w Wąsicach, ul. Główna 14 A, Wąsice</v>
      </c>
      <c r="H237">
        <v>402</v>
      </c>
      <c r="I237">
        <v>400</v>
      </c>
      <c r="J237">
        <v>155</v>
      </c>
      <c r="K237">
        <v>0</v>
      </c>
      <c r="L237">
        <v>245</v>
      </c>
      <c r="M237">
        <v>155</v>
      </c>
      <c r="N237">
        <v>153</v>
      </c>
      <c r="O237">
        <v>2</v>
      </c>
      <c r="P237">
        <v>67</v>
      </c>
      <c r="Q237">
        <v>86</v>
      </c>
    </row>
    <row r="238" spans="1:17" ht="14.25">
      <c r="A238">
        <v>234</v>
      </c>
      <c r="B238" t="str">
        <f t="shared" si="40"/>
        <v>160404</v>
      </c>
      <c r="C238" t="str">
        <f t="shared" si="41"/>
        <v>gm. Wołczyn</v>
      </c>
      <c r="D238" t="str">
        <f t="shared" si="37"/>
        <v>kluczborski</v>
      </c>
      <c r="E238" t="str">
        <f t="shared" si="36"/>
        <v>opolskie</v>
      </c>
      <c r="F238">
        <v>12</v>
      </c>
      <c r="G238" t="str">
        <f>"Świetlica Wiejska, Wierzchy 76, Wierzchy"</f>
        <v>Świetlica Wiejska, Wierzchy 76, Wierzchy</v>
      </c>
      <c r="H238">
        <v>650</v>
      </c>
      <c r="I238">
        <v>640</v>
      </c>
      <c r="J238">
        <v>196</v>
      </c>
      <c r="K238">
        <v>0</v>
      </c>
      <c r="L238">
        <v>444</v>
      </c>
      <c r="M238">
        <v>196</v>
      </c>
      <c r="N238">
        <v>191</v>
      </c>
      <c r="O238">
        <v>5</v>
      </c>
      <c r="P238">
        <v>74</v>
      </c>
      <c r="Q238">
        <v>117</v>
      </c>
    </row>
    <row r="239" spans="1:17" ht="14.25">
      <c r="A239">
        <v>235</v>
      </c>
      <c r="B239" t="str">
        <f t="shared" si="40"/>
        <v>160404</v>
      </c>
      <c r="C239" t="str">
        <f t="shared" si="41"/>
        <v>gm. Wołczyn</v>
      </c>
      <c r="D239" t="str">
        <f t="shared" si="37"/>
        <v>kluczborski</v>
      </c>
      <c r="E239" t="str">
        <f t="shared" si="36"/>
        <v>opolskie</v>
      </c>
      <c r="F239">
        <v>13</v>
      </c>
      <c r="G239" t="str">
        <f>"Świetlica Wiejska, Brzezinki 25, Brzezinki"</f>
        <v>Świetlica Wiejska, Brzezinki 25, Brzezinki</v>
      </c>
      <c r="H239">
        <v>310</v>
      </c>
      <c r="I239">
        <v>320</v>
      </c>
      <c r="J239">
        <v>153</v>
      </c>
      <c r="K239">
        <v>0</v>
      </c>
      <c r="L239">
        <v>167</v>
      </c>
      <c r="M239">
        <v>153</v>
      </c>
      <c r="N239">
        <v>152</v>
      </c>
      <c r="O239">
        <v>1</v>
      </c>
      <c r="P239">
        <v>81</v>
      </c>
      <c r="Q239">
        <v>71</v>
      </c>
    </row>
    <row r="240" spans="1:17" ht="14.25">
      <c r="A240">
        <v>236</v>
      </c>
      <c r="B240" t="str">
        <f t="shared" si="40"/>
        <v>160404</v>
      </c>
      <c r="C240" t="str">
        <f t="shared" si="41"/>
        <v>gm. Wołczyn</v>
      </c>
      <c r="D240" t="str">
        <f t="shared" si="37"/>
        <v>kluczborski</v>
      </c>
      <c r="E240" t="str">
        <f t="shared" si="36"/>
        <v>opolskie</v>
      </c>
      <c r="F240">
        <v>14</v>
      </c>
      <c r="G240" t="str">
        <f>"Szkoła Podstawowa, ul. Wołczyńska 23, Skałągi"</f>
        <v>Szkoła Podstawowa, ul. Wołczyńska 23, Skałągi</v>
      </c>
      <c r="H240">
        <v>410</v>
      </c>
      <c r="I240">
        <v>400</v>
      </c>
      <c r="J240">
        <v>192</v>
      </c>
      <c r="K240">
        <v>0</v>
      </c>
      <c r="L240">
        <v>208</v>
      </c>
      <c r="M240">
        <v>192</v>
      </c>
      <c r="N240">
        <v>190</v>
      </c>
      <c r="O240">
        <v>2</v>
      </c>
      <c r="P240">
        <v>95</v>
      </c>
      <c r="Q240">
        <v>95</v>
      </c>
    </row>
    <row r="241" spans="1:17" ht="14.25">
      <c r="A241">
        <v>237</v>
      </c>
      <c r="B241" t="str">
        <f t="shared" si="40"/>
        <v>160404</v>
      </c>
      <c r="C241" t="str">
        <f t="shared" si="41"/>
        <v>gm. Wołczyn</v>
      </c>
      <c r="D241" t="str">
        <f t="shared" si="37"/>
        <v>kluczborski</v>
      </c>
      <c r="E241" t="str">
        <f t="shared" si="36"/>
        <v>opolskie</v>
      </c>
      <c r="F241">
        <v>15</v>
      </c>
      <c r="G241" t="str">
        <f>"Oddział Przedszkolny w Rożnowie Szkoły Podstawowej nr 1, Rożnów 1, Rożnów"</f>
        <v>Oddział Przedszkolny w Rożnowie Szkoły Podstawowej nr 1, Rożnów 1, Rożnów</v>
      </c>
      <c r="H241">
        <v>379</v>
      </c>
      <c r="I241">
        <v>400</v>
      </c>
      <c r="J241">
        <v>145</v>
      </c>
      <c r="K241">
        <v>0</v>
      </c>
      <c r="L241">
        <v>255</v>
      </c>
      <c r="M241">
        <v>145</v>
      </c>
      <c r="N241">
        <v>144</v>
      </c>
      <c r="O241">
        <v>1</v>
      </c>
      <c r="P241">
        <v>68</v>
      </c>
      <c r="Q241">
        <v>76</v>
      </c>
    </row>
    <row r="242" spans="1:17" ht="14.25">
      <c r="A242">
        <v>238</v>
      </c>
      <c r="B242" t="str">
        <f aca="true" t="shared" si="42" ref="B242:B254">"160501"</f>
        <v>160501</v>
      </c>
      <c r="C242" t="str">
        <f aca="true" t="shared" si="43" ref="C242:C254">"gm. Gogolin"</f>
        <v>gm. Gogolin</v>
      </c>
      <c r="D242" t="str">
        <f aca="true" t="shared" si="44" ref="D242:D273">"krapkowicki"</f>
        <v>krapkowicki</v>
      </c>
      <c r="E242" t="str">
        <f t="shared" si="36"/>
        <v>opolskie</v>
      </c>
      <c r="F242">
        <v>1</v>
      </c>
      <c r="G242" t="str">
        <f>"Publiczne Gimnazjum, ul.Szkolna 27, Gogolin"</f>
        <v>Publiczne Gimnazjum, ul.Szkolna 27, Gogolin</v>
      </c>
      <c r="H242">
        <v>1798</v>
      </c>
      <c r="I242">
        <v>1678</v>
      </c>
      <c r="J242">
        <v>708</v>
      </c>
      <c r="K242">
        <v>1</v>
      </c>
      <c r="L242">
        <v>970</v>
      </c>
      <c r="M242">
        <v>708</v>
      </c>
      <c r="N242">
        <v>704</v>
      </c>
      <c r="O242">
        <v>4</v>
      </c>
      <c r="P242">
        <v>194</v>
      </c>
      <c r="Q242">
        <v>510</v>
      </c>
    </row>
    <row r="243" spans="1:17" ht="14.25">
      <c r="A243">
        <v>239</v>
      </c>
      <c r="B243" t="str">
        <f t="shared" si="42"/>
        <v>160501</v>
      </c>
      <c r="C243" t="str">
        <f t="shared" si="43"/>
        <v>gm. Gogolin</v>
      </c>
      <c r="D243" t="str">
        <f t="shared" si="44"/>
        <v>krapkowicki</v>
      </c>
      <c r="E243" t="str">
        <f t="shared" si="36"/>
        <v>opolskie</v>
      </c>
      <c r="F243">
        <v>2</v>
      </c>
      <c r="G243" t="str">
        <f>"Publiczna Szkoła Podstawowa Nr 2, ul.Strzelecka 39, Gogolin"</f>
        <v>Publiczna Szkoła Podstawowa Nr 2, ul.Strzelecka 39, Gogolin</v>
      </c>
      <c r="H243">
        <v>1815</v>
      </c>
      <c r="I243">
        <v>1680</v>
      </c>
      <c r="J243">
        <v>621</v>
      </c>
      <c r="K243">
        <v>0</v>
      </c>
      <c r="L243">
        <v>1059</v>
      </c>
      <c r="M243">
        <v>621</v>
      </c>
      <c r="N243">
        <v>602</v>
      </c>
      <c r="O243">
        <v>19</v>
      </c>
      <c r="P243">
        <v>164</v>
      </c>
      <c r="Q243">
        <v>438</v>
      </c>
    </row>
    <row r="244" spans="1:17" ht="14.25">
      <c r="A244">
        <v>240</v>
      </c>
      <c r="B244" t="str">
        <f t="shared" si="42"/>
        <v>160501</v>
      </c>
      <c r="C244" t="str">
        <f t="shared" si="43"/>
        <v>gm. Gogolin</v>
      </c>
      <c r="D244" t="str">
        <f t="shared" si="44"/>
        <v>krapkowicki</v>
      </c>
      <c r="E244" t="str">
        <f t="shared" si="36"/>
        <v>opolskie</v>
      </c>
      <c r="F244">
        <v>3</v>
      </c>
      <c r="G244" t="str">
        <f>"Publiczna Szkoła Podstawowa Nr 3, ul. Krapkowicka 141, Gogolin"</f>
        <v>Publiczna Szkoła Podstawowa Nr 3, ul. Krapkowicka 141, Gogolin</v>
      </c>
      <c r="H244">
        <v>1168</v>
      </c>
      <c r="I244">
        <v>1125</v>
      </c>
      <c r="J244">
        <v>434</v>
      </c>
      <c r="K244">
        <v>0</v>
      </c>
      <c r="L244">
        <v>691</v>
      </c>
      <c r="M244">
        <v>434</v>
      </c>
      <c r="N244">
        <v>432</v>
      </c>
      <c r="O244">
        <v>2</v>
      </c>
      <c r="P244">
        <v>65</v>
      </c>
      <c r="Q244">
        <v>367</v>
      </c>
    </row>
    <row r="245" spans="1:17" ht="14.25">
      <c r="A245">
        <v>241</v>
      </c>
      <c r="B245" t="str">
        <f t="shared" si="42"/>
        <v>160501</v>
      </c>
      <c r="C245" t="str">
        <f t="shared" si="43"/>
        <v>gm. Gogolin</v>
      </c>
      <c r="D245" t="str">
        <f t="shared" si="44"/>
        <v>krapkowicki</v>
      </c>
      <c r="E245" t="str">
        <f t="shared" si="36"/>
        <v>opolskie</v>
      </c>
      <c r="F245">
        <v>4</v>
      </c>
      <c r="G245" t="str">
        <f>"Przedszkole, ul. Dworcowa 3, Górażdże"</f>
        <v>Przedszkole, ul. Dworcowa 3, Górażdże</v>
      </c>
      <c r="H245">
        <v>746</v>
      </c>
      <c r="I245">
        <v>721</v>
      </c>
      <c r="J245">
        <v>269</v>
      </c>
      <c r="K245">
        <v>0</v>
      </c>
      <c r="L245">
        <v>452</v>
      </c>
      <c r="M245">
        <v>269</v>
      </c>
      <c r="N245">
        <v>267</v>
      </c>
      <c r="O245">
        <v>2</v>
      </c>
      <c r="P245">
        <v>61</v>
      </c>
      <c r="Q245">
        <v>206</v>
      </c>
    </row>
    <row r="246" spans="1:17" ht="14.25">
      <c r="A246">
        <v>242</v>
      </c>
      <c r="B246" t="str">
        <f t="shared" si="42"/>
        <v>160501</v>
      </c>
      <c r="C246" t="str">
        <f t="shared" si="43"/>
        <v>gm. Gogolin</v>
      </c>
      <c r="D246" t="str">
        <f t="shared" si="44"/>
        <v>krapkowicki</v>
      </c>
      <c r="E246" t="str">
        <f t="shared" si="36"/>
        <v>opolskie</v>
      </c>
      <c r="F246">
        <v>5</v>
      </c>
      <c r="G246" t="str">
        <f>"Publiczna Szkoła Podstawowa, ul. Podgórna 3, Malnia"</f>
        <v>Publiczna Szkoła Podstawowa, ul. Podgórna 3, Malnia</v>
      </c>
      <c r="H246">
        <v>583</v>
      </c>
      <c r="I246">
        <v>582</v>
      </c>
      <c r="J246">
        <v>192</v>
      </c>
      <c r="K246">
        <v>0</v>
      </c>
      <c r="L246">
        <v>390</v>
      </c>
      <c r="M246">
        <v>192</v>
      </c>
      <c r="N246">
        <v>192</v>
      </c>
      <c r="O246">
        <v>0</v>
      </c>
      <c r="P246">
        <v>34</v>
      </c>
      <c r="Q246">
        <v>158</v>
      </c>
    </row>
    <row r="247" spans="1:17" ht="14.25">
      <c r="A247">
        <v>243</v>
      </c>
      <c r="B247" t="str">
        <f t="shared" si="42"/>
        <v>160501</v>
      </c>
      <c r="C247" t="str">
        <f t="shared" si="43"/>
        <v>gm. Gogolin</v>
      </c>
      <c r="D247" t="str">
        <f t="shared" si="44"/>
        <v>krapkowicki</v>
      </c>
      <c r="E247" t="str">
        <f t="shared" si="36"/>
        <v>opolskie</v>
      </c>
      <c r="F247">
        <v>6</v>
      </c>
      <c r="G247" t="str">
        <f>"Filia Publicznej Szkoły Podstawowej Nr 3, ul. Mickiewicza 3, Zakrzów"</f>
        <v>Filia Publicznej Szkoły Podstawowej Nr 3, ul. Mickiewicza 3, Zakrzów</v>
      </c>
      <c r="H247">
        <v>512</v>
      </c>
      <c r="I247">
        <v>579</v>
      </c>
      <c r="J247">
        <v>167</v>
      </c>
      <c r="K247">
        <v>0</v>
      </c>
      <c r="L247">
        <v>412</v>
      </c>
      <c r="M247">
        <v>167</v>
      </c>
      <c r="N247">
        <v>159</v>
      </c>
      <c r="O247">
        <v>8</v>
      </c>
      <c r="P247">
        <v>46</v>
      </c>
      <c r="Q247">
        <v>113</v>
      </c>
    </row>
    <row r="248" spans="1:17" ht="14.25">
      <c r="A248">
        <v>244</v>
      </c>
      <c r="B248" t="str">
        <f t="shared" si="42"/>
        <v>160501</v>
      </c>
      <c r="C248" t="str">
        <f t="shared" si="43"/>
        <v>gm. Gogolin</v>
      </c>
      <c r="D248" t="str">
        <f t="shared" si="44"/>
        <v>krapkowicki</v>
      </c>
      <c r="E248" t="str">
        <f t="shared" si="36"/>
        <v>opolskie</v>
      </c>
      <c r="F248">
        <v>7</v>
      </c>
      <c r="G248" t="str">
        <f>"Publiczna Szkoła Podstawowa, ul. Klasztorna 2, Kamień Śląski"</f>
        <v>Publiczna Szkoła Podstawowa, ul. Klasztorna 2, Kamień Śląski</v>
      </c>
      <c r="H248">
        <v>1176</v>
      </c>
      <c r="I248">
        <v>1117</v>
      </c>
      <c r="J248">
        <v>404</v>
      </c>
      <c r="K248">
        <v>0</v>
      </c>
      <c r="L248">
        <v>713</v>
      </c>
      <c r="M248">
        <v>404</v>
      </c>
      <c r="N248">
        <v>402</v>
      </c>
      <c r="O248">
        <v>2</v>
      </c>
      <c r="P248">
        <v>103</v>
      </c>
      <c r="Q248">
        <v>299</v>
      </c>
    </row>
    <row r="249" spans="1:17" ht="14.25">
      <c r="A249">
        <v>245</v>
      </c>
      <c r="B249" t="str">
        <f t="shared" si="42"/>
        <v>160501</v>
      </c>
      <c r="C249" t="str">
        <f t="shared" si="43"/>
        <v>gm. Gogolin</v>
      </c>
      <c r="D249" t="str">
        <f t="shared" si="44"/>
        <v>krapkowicki</v>
      </c>
      <c r="E249" t="str">
        <f t="shared" si="36"/>
        <v>opolskie</v>
      </c>
      <c r="F249">
        <v>8</v>
      </c>
      <c r="G249" t="str">
        <f>"DSS Święta Barbara, ul. Polna 24, Kamionek"</f>
        <v>DSS Święta Barbara, ul. Polna 24, Kamionek</v>
      </c>
      <c r="H249">
        <v>565</v>
      </c>
      <c r="I249">
        <v>587</v>
      </c>
      <c r="J249">
        <v>189</v>
      </c>
      <c r="K249">
        <v>0</v>
      </c>
      <c r="L249">
        <v>398</v>
      </c>
      <c r="M249">
        <v>189</v>
      </c>
      <c r="N249">
        <v>180</v>
      </c>
      <c r="O249">
        <v>9</v>
      </c>
      <c r="P249">
        <v>52</v>
      </c>
      <c r="Q249">
        <v>128</v>
      </c>
    </row>
    <row r="250" spans="1:17" ht="14.25">
      <c r="A250">
        <v>246</v>
      </c>
      <c r="B250" t="str">
        <f t="shared" si="42"/>
        <v>160501</v>
      </c>
      <c r="C250" t="str">
        <f t="shared" si="43"/>
        <v>gm. Gogolin</v>
      </c>
      <c r="D250" t="str">
        <f t="shared" si="44"/>
        <v>krapkowicki</v>
      </c>
      <c r="E250" t="str">
        <f t="shared" si="36"/>
        <v>opolskie</v>
      </c>
      <c r="F250">
        <v>9</v>
      </c>
      <c r="G250" t="str">
        <f>"Remiza OSP, ul. Łąkowa 1, Obrowiec"</f>
        <v>Remiza OSP, ul. Łąkowa 1, Obrowiec</v>
      </c>
      <c r="H250">
        <v>436</v>
      </c>
      <c r="I250">
        <v>480</v>
      </c>
      <c r="J250">
        <v>141</v>
      </c>
      <c r="K250">
        <v>0</v>
      </c>
      <c r="L250">
        <v>339</v>
      </c>
      <c r="M250">
        <v>141</v>
      </c>
      <c r="N250">
        <v>137</v>
      </c>
      <c r="O250">
        <v>4</v>
      </c>
      <c r="P250">
        <v>24</v>
      </c>
      <c r="Q250">
        <v>113</v>
      </c>
    </row>
    <row r="251" spans="1:17" ht="14.25">
      <c r="A251">
        <v>247</v>
      </c>
      <c r="B251" t="str">
        <f t="shared" si="42"/>
        <v>160501</v>
      </c>
      <c r="C251" t="str">
        <f t="shared" si="43"/>
        <v>gm. Gogolin</v>
      </c>
      <c r="D251" t="str">
        <f t="shared" si="44"/>
        <v>krapkowicki</v>
      </c>
      <c r="E251" t="str">
        <f t="shared" si="36"/>
        <v>opolskie</v>
      </c>
      <c r="F251">
        <v>10</v>
      </c>
      <c r="G251" t="str">
        <f>"Remiza OSP, ul. Szkolna 1, Odrowąż"</f>
        <v>Remiza OSP, ul. Szkolna 1, Odrowąż</v>
      </c>
      <c r="H251">
        <v>461</v>
      </c>
      <c r="I251">
        <v>478</v>
      </c>
      <c r="J251">
        <v>150</v>
      </c>
      <c r="K251">
        <v>0</v>
      </c>
      <c r="L251">
        <v>328</v>
      </c>
      <c r="M251">
        <v>150</v>
      </c>
      <c r="N251">
        <v>146</v>
      </c>
      <c r="O251">
        <v>4</v>
      </c>
      <c r="P251">
        <v>50</v>
      </c>
      <c r="Q251">
        <v>96</v>
      </c>
    </row>
    <row r="252" spans="1:17" ht="14.25">
      <c r="A252">
        <v>248</v>
      </c>
      <c r="B252" t="str">
        <f t="shared" si="42"/>
        <v>160501</v>
      </c>
      <c r="C252" t="str">
        <f t="shared" si="43"/>
        <v>gm. Gogolin</v>
      </c>
      <c r="D252" t="str">
        <f t="shared" si="44"/>
        <v>krapkowicki</v>
      </c>
      <c r="E252" t="str">
        <f t="shared" si="36"/>
        <v>opolskie</v>
      </c>
      <c r="F252">
        <v>11</v>
      </c>
      <c r="G252" t="str">
        <f>"Świetlica, ul. Plebiscytowa 1, Gogolin"</f>
        <v>Świetlica, ul. Plebiscytowa 1, Gogolin</v>
      </c>
      <c r="H252">
        <v>430</v>
      </c>
      <c r="I252">
        <v>480</v>
      </c>
      <c r="J252">
        <v>108</v>
      </c>
      <c r="K252">
        <v>1</v>
      </c>
      <c r="L252">
        <v>372</v>
      </c>
      <c r="M252">
        <v>108</v>
      </c>
      <c r="N252">
        <v>108</v>
      </c>
      <c r="O252">
        <v>0</v>
      </c>
      <c r="P252">
        <v>36</v>
      </c>
      <c r="Q252">
        <v>72</v>
      </c>
    </row>
    <row r="253" spans="1:17" ht="14.25">
      <c r="A253">
        <v>249</v>
      </c>
      <c r="B253" t="str">
        <f t="shared" si="42"/>
        <v>160501</v>
      </c>
      <c r="C253" t="str">
        <f t="shared" si="43"/>
        <v>gm. Gogolin</v>
      </c>
      <c r="D253" t="str">
        <f t="shared" si="44"/>
        <v>krapkowicki</v>
      </c>
      <c r="E253" t="str">
        <f t="shared" si="36"/>
        <v>opolskie</v>
      </c>
      <c r="F253">
        <v>12</v>
      </c>
      <c r="G253" t="str">
        <f>"budynek byłego Przedszkola, ul. Opolska 66, Chorula"</f>
        <v>budynek byłego Przedszkola, ul. Opolska 66, Chorula</v>
      </c>
      <c r="H253">
        <v>512</v>
      </c>
      <c r="I253">
        <v>580</v>
      </c>
      <c r="J253">
        <v>162</v>
      </c>
      <c r="K253">
        <v>0</v>
      </c>
      <c r="L253">
        <v>418</v>
      </c>
      <c r="M253">
        <v>162</v>
      </c>
      <c r="N253">
        <v>161</v>
      </c>
      <c r="O253">
        <v>1</v>
      </c>
      <c r="P253">
        <v>50</v>
      </c>
      <c r="Q253">
        <v>111</v>
      </c>
    </row>
    <row r="254" spans="1:17" ht="14.25">
      <c r="A254">
        <v>250</v>
      </c>
      <c r="B254" t="str">
        <f t="shared" si="42"/>
        <v>160501</v>
      </c>
      <c r="C254" t="str">
        <f t="shared" si="43"/>
        <v>gm. Gogolin</v>
      </c>
      <c r="D254" t="str">
        <f t="shared" si="44"/>
        <v>krapkowicki</v>
      </c>
      <c r="E254" t="str">
        <f t="shared" si="36"/>
        <v>opolskie</v>
      </c>
      <c r="F254">
        <v>13</v>
      </c>
      <c r="G254" t="str">
        <f>"budynek Zakładu Opiekuńczo-Leczniczego, ul. Główna 23, Górażdże"</f>
        <v>budynek Zakładu Opiekuńczo-Leczniczego, ul. Główna 23, Górażdże</v>
      </c>
      <c r="H254">
        <v>54</v>
      </c>
      <c r="I254">
        <v>51</v>
      </c>
      <c r="J254">
        <v>17</v>
      </c>
      <c r="K254">
        <v>0</v>
      </c>
      <c r="L254">
        <v>34</v>
      </c>
      <c r="M254">
        <v>17</v>
      </c>
      <c r="N254">
        <v>17</v>
      </c>
      <c r="O254">
        <v>0</v>
      </c>
      <c r="P254">
        <v>8</v>
      </c>
      <c r="Q254">
        <v>9</v>
      </c>
    </row>
    <row r="255" spans="1:17" ht="14.25">
      <c r="A255">
        <v>251</v>
      </c>
      <c r="B255" t="str">
        <f aca="true" t="shared" si="45" ref="B255:B272">"160502"</f>
        <v>160502</v>
      </c>
      <c r="C255" t="str">
        <f aca="true" t="shared" si="46" ref="C255:C272">"gm. Krapkowice"</f>
        <v>gm. Krapkowice</v>
      </c>
      <c r="D255" t="str">
        <f t="shared" si="44"/>
        <v>krapkowicki</v>
      </c>
      <c r="E255" t="str">
        <f t="shared" si="36"/>
        <v>opolskie</v>
      </c>
      <c r="F255">
        <v>1</v>
      </c>
      <c r="G255" t="str">
        <f>"Zespół Szkół Zawodowych, ul. Zamkowa 5, Krapkowice"</f>
        <v>Zespół Szkół Zawodowych, ul. Zamkowa 5, Krapkowice</v>
      </c>
      <c r="H255">
        <v>816</v>
      </c>
      <c r="I255">
        <v>800</v>
      </c>
      <c r="J255">
        <v>319</v>
      </c>
      <c r="K255">
        <v>0</v>
      </c>
      <c r="L255">
        <v>481</v>
      </c>
      <c r="M255">
        <v>319</v>
      </c>
      <c r="N255">
        <v>317</v>
      </c>
      <c r="O255">
        <v>2</v>
      </c>
      <c r="P255">
        <v>61</v>
      </c>
      <c r="Q255">
        <v>256</v>
      </c>
    </row>
    <row r="256" spans="1:17" ht="14.25">
      <c r="A256">
        <v>252</v>
      </c>
      <c r="B256" t="str">
        <f t="shared" si="45"/>
        <v>160502</v>
      </c>
      <c r="C256" t="str">
        <f t="shared" si="46"/>
        <v>gm. Krapkowice</v>
      </c>
      <c r="D256" t="str">
        <f t="shared" si="44"/>
        <v>krapkowicki</v>
      </c>
      <c r="E256" t="str">
        <f t="shared" si="36"/>
        <v>opolskie</v>
      </c>
      <c r="F256">
        <v>2</v>
      </c>
      <c r="G256" t="str">
        <f>"Publiczna Szkoła Podstawowa Nr 1, ul. Szkolna 3, Krapkowice"</f>
        <v>Publiczna Szkoła Podstawowa Nr 1, ul. Szkolna 3, Krapkowice</v>
      </c>
      <c r="H256">
        <v>2061</v>
      </c>
      <c r="I256">
        <v>1919</v>
      </c>
      <c r="J256">
        <v>964</v>
      </c>
      <c r="K256">
        <v>0</v>
      </c>
      <c r="L256">
        <v>955</v>
      </c>
      <c r="M256">
        <v>964</v>
      </c>
      <c r="N256">
        <v>947</v>
      </c>
      <c r="O256">
        <v>17</v>
      </c>
      <c r="P256">
        <v>214</v>
      </c>
      <c r="Q256">
        <v>733</v>
      </c>
    </row>
    <row r="257" spans="1:17" ht="14.25">
      <c r="A257">
        <v>253</v>
      </c>
      <c r="B257" t="str">
        <f t="shared" si="45"/>
        <v>160502</v>
      </c>
      <c r="C257" t="str">
        <f t="shared" si="46"/>
        <v>gm. Krapkowice</v>
      </c>
      <c r="D257" t="str">
        <f t="shared" si="44"/>
        <v>krapkowicki</v>
      </c>
      <c r="E257" t="str">
        <f t="shared" si="36"/>
        <v>opolskie</v>
      </c>
      <c r="F257">
        <v>3</v>
      </c>
      <c r="G257" t="str">
        <f>"Publiczne Gimnazjum Nr 2, ul. Kwiatowa 7, Krapkowice"</f>
        <v>Publiczne Gimnazjum Nr 2, ul. Kwiatowa 7, Krapkowice</v>
      </c>
      <c r="H257">
        <v>1913</v>
      </c>
      <c r="I257">
        <v>1760</v>
      </c>
      <c r="J257">
        <v>923</v>
      </c>
      <c r="K257">
        <v>0</v>
      </c>
      <c r="L257">
        <v>837</v>
      </c>
      <c r="M257">
        <v>922</v>
      </c>
      <c r="N257">
        <v>904</v>
      </c>
      <c r="O257">
        <v>18</v>
      </c>
      <c r="P257">
        <v>255</v>
      </c>
      <c r="Q257">
        <v>649</v>
      </c>
    </row>
    <row r="258" spans="1:17" ht="14.25">
      <c r="A258">
        <v>254</v>
      </c>
      <c r="B258" t="str">
        <f t="shared" si="45"/>
        <v>160502</v>
      </c>
      <c r="C258" t="str">
        <f t="shared" si="46"/>
        <v>gm. Krapkowice</v>
      </c>
      <c r="D258" t="str">
        <f t="shared" si="44"/>
        <v>krapkowicki</v>
      </c>
      <c r="E258" t="str">
        <f t="shared" si="36"/>
        <v>opolskie</v>
      </c>
      <c r="F258">
        <v>4</v>
      </c>
      <c r="G258" t="str">
        <f>"Publiczna Szkoła Podstawowa Nr 1, ul. Szkolna 3, Krapkowice"</f>
        <v>Publiczna Szkoła Podstawowa Nr 1, ul. Szkolna 3, Krapkowice</v>
      </c>
      <c r="H258">
        <v>835</v>
      </c>
      <c r="I258">
        <v>800</v>
      </c>
      <c r="J258">
        <v>266</v>
      </c>
      <c r="K258">
        <v>0</v>
      </c>
      <c r="L258">
        <v>534</v>
      </c>
      <c r="M258">
        <v>266</v>
      </c>
      <c r="N258">
        <v>261</v>
      </c>
      <c r="O258">
        <v>5</v>
      </c>
      <c r="P258">
        <v>60</v>
      </c>
      <c r="Q258">
        <v>201</v>
      </c>
    </row>
    <row r="259" spans="1:17" ht="14.25">
      <c r="A259">
        <v>255</v>
      </c>
      <c r="B259" t="str">
        <f t="shared" si="45"/>
        <v>160502</v>
      </c>
      <c r="C259" t="str">
        <f t="shared" si="46"/>
        <v>gm. Krapkowice</v>
      </c>
      <c r="D259" t="str">
        <f t="shared" si="44"/>
        <v>krapkowicki</v>
      </c>
      <c r="E259" t="str">
        <f t="shared" si="36"/>
        <v>opolskie</v>
      </c>
      <c r="F259">
        <v>5</v>
      </c>
      <c r="G259" t="str">
        <f>"Zespół Szkół im. Jana Kilińskiego, ul. Księdza Duszy 7, Krapkowice"</f>
        <v>Zespół Szkół im. Jana Kilińskiego, ul. Księdza Duszy 7, Krapkowice</v>
      </c>
      <c r="H259">
        <v>935</v>
      </c>
      <c r="I259">
        <v>880</v>
      </c>
      <c r="J259">
        <v>461</v>
      </c>
      <c r="K259">
        <v>0</v>
      </c>
      <c r="L259">
        <v>419</v>
      </c>
      <c r="M259">
        <v>461</v>
      </c>
      <c r="N259">
        <v>457</v>
      </c>
      <c r="O259">
        <v>4</v>
      </c>
      <c r="P259">
        <v>114</v>
      </c>
      <c r="Q259">
        <v>343</v>
      </c>
    </row>
    <row r="260" spans="1:17" ht="14.25">
      <c r="A260">
        <v>256</v>
      </c>
      <c r="B260" t="str">
        <f t="shared" si="45"/>
        <v>160502</v>
      </c>
      <c r="C260" t="str">
        <f t="shared" si="46"/>
        <v>gm. Krapkowice</v>
      </c>
      <c r="D260" t="str">
        <f t="shared" si="44"/>
        <v>krapkowicki</v>
      </c>
      <c r="E260" t="str">
        <f t="shared" si="36"/>
        <v>opolskie</v>
      </c>
      <c r="F260">
        <v>6</v>
      </c>
      <c r="G260" t="str">
        <f>"Przedszkole Publiczne Nr 6, ul. Buczka 11, Krapkowice"</f>
        <v>Przedszkole Publiczne Nr 6, ul. Buczka 11, Krapkowice</v>
      </c>
      <c r="H260">
        <v>970</v>
      </c>
      <c r="I260">
        <v>880</v>
      </c>
      <c r="J260">
        <v>412</v>
      </c>
      <c r="K260">
        <v>0</v>
      </c>
      <c r="L260">
        <v>468</v>
      </c>
      <c r="M260">
        <v>412</v>
      </c>
      <c r="N260">
        <v>406</v>
      </c>
      <c r="O260">
        <v>6</v>
      </c>
      <c r="P260">
        <v>104</v>
      </c>
      <c r="Q260">
        <v>302</v>
      </c>
    </row>
    <row r="261" spans="1:17" ht="14.25">
      <c r="A261">
        <v>257</v>
      </c>
      <c r="B261" t="str">
        <f t="shared" si="45"/>
        <v>160502</v>
      </c>
      <c r="C261" t="str">
        <f t="shared" si="46"/>
        <v>gm. Krapkowice</v>
      </c>
      <c r="D261" t="str">
        <f t="shared" si="44"/>
        <v>krapkowicki</v>
      </c>
      <c r="E261" t="str">
        <f aca="true" t="shared" si="47" ref="E261:E324">"opolskie"</f>
        <v>opolskie</v>
      </c>
      <c r="F261">
        <v>7</v>
      </c>
      <c r="G261" t="str">
        <f>"Środowiskowy Dom Samopomocy, Osiedle XXX lecia 23, Krapkowice"</f>
        <v>Środowiskowy Dom Samopomocy, Osiedle XXX lecia 23, Krapkowice</v>
      </c>
      <c r="H261">
        <v>1808</v>
      </c>
      <c r="I261">
        <v>1679</v>
      </c>
      <c r="J261">
        <v>871</v>
      </c>
      <c r="K261">
        <v>0</v>
      </c>
      <c r="L261">
        <v>808</v>
      </c>
      <c r="M261">
        <v>871</v>
      </c>
      <c r="N261">
        <v>862</v>
      </c>
      <c r="O261">
        <v>9</v>
      </c>
      <c r="P261">
        <v>258</v>
      </c>
      <c r="Q261">
        <v>604</v>
      </c>
    </row>
    <row r="262" spans="1:17" ht="14.25">
      <c r="A262">
        <v>258</v>
      </c>
      <c r="B262" t="str">
        <f t="shared" si="45"/>
        <v>160502</v>
      </c>
      <c r="C262" t="str">
        <f t="shared" si="46"/>
        <v>gm. Krapkowice</v>
      </c>
      <c r="D262" t="str">
        <f t="shared" si="44"/>
        <v>krapkowicki</v>
      </c>
      <c r="E262" t="str">
        <f t="shared" si="47"/>
        <v>opolskie</v>
      </c>
      <c r="F262">
        <v>8</v>
      </c>
      <c r="G262" t="str">
        <f>"Zespół Szkół Sportowych Nr 1, Osiedle XXX lecia 24, Krapkowice"</f>
        <v>Zespół Szkół Sportowych Nr 1, Osiedle XXX lecia 24, Krapkowice</v>
      </c>
      <c r="H262">
        <v>1084</v>
      </c>
      <c r="I262">
        <v>1040</v>
      </c>
      <c r="J262">
        <v>517</v>
      </c>
      <c r="K262">
        <v>0</v>
      </c>
      <c r="L262">
        <v>523</v>
      </c>
      <c r="M262">
        <v>517</v>
      </c>
      <c r="N262">
        <v>515</v>
      </c>
      <c r="O262">
        <v>2</v>
      </c>
      <c r="P262">
        <v>147</v>
      </c>
      <c r="Q262">
        <v>368</v>
      </c>
    </row>
    <row r="263" spans="1:17" ht="14.25">
      <c r="A263">
        <v>259</v>
      </c>
      <c r="B263" t="str">
        <f t="shared" si="45"/>
        <v>160502</v>
      </c>
      <c r="C263" t="str">
        <f t="shared" si="46"/>
        <v>gm. Krapkowice</v>
      </c>
      <c r="D263" t="str">
        <f t="shared" si="44"/>
        <v>krapkowicki</v>
      </c>
      <c r="E263" t="str">
        <f t="shared" si="47"/>
        <v>opolskie</v>
      </c>
      <c r="F263">
        <v>9</v>
      </c>
      <c r="G263" t="str">
        <f>"Warsztat Terapii Zajęciowej, ul. Mickiewicza 1, Krapkowice"</f>
        <v>Warsztat Terapii Zajęciowej, ul. Mickiewicza 1, Krapkowice</v>
      </c>
      <c r="H263">
        <v>1807</v>
      </c>
      <c r="I263">
        <v>1680</v>
      </c>
      <c r="J263">
        <v>781</v>
      </c>
      <c r="K263">
        <v>0</v>
      </c>
      <c r="L263">
        <v>899</v>
      </c>
      <c r="M263">
        <v>781</v>
      </c>
      <c r="N263">
        <v>769</v>
      </c>
      <c r="O263">
        <v>12</v>
      </c>
      <c r="P263">
        <v>235</v>
      </c>
      <c r="Q263">
        <v>534</v>
      </c>
    </row>
    <row r="264" spans="1:17" ht="14.25">
      <c r="A264">
        <v>260</v>
      </c>
      <c r="B264" t="str">
        <f t="shared" si="45"/>
        <v>160502</v>
      </c>
      <c r="C264" t="str">
        <f t="shared" si="46"/>
        <v>gm. Krapkowice</v>
      </c>
      <c r="D264" t="str">
        <f t="shared" si="44"/>
        <v>krapkowicki</v>
      </c>
      <c r="E264" t="str">
        <f t="shared" si="47"/>
        <v>opolskie</v>
      </c>
      <c r="F264">
        <v>10</v>
      </c>
      <c r="G264" t="str">
        <f>"Publiczna Szkoła Podstawowa Nr 4, ul. Żeromskiego 34, Krapkowice"</f>
        <v>Publiczna Szkoła Podstawowa Nr 4, ul. Żeromskiego 34, Krapkowice</v>
      </c>
      <c r="H264">
        <v>1784</v>
      </c>
      <c r="I264">
        <v>1678</v>
      </c>
      <c r="J264">
        <v>854</v>
      </c>
      <c r="K264">
        <v>0</v>
      </c>
      <c r="L264">
        <v>824</v>
      </c>
      <c r="M264">
        <v>854</v>
      </c>
      <c r="N264">
        <v>846</v>
      </c>
      <c r="O264">
        <v>8</v>
      </c>
      <c r="P264">
        <v>220</v>
      </c>
      <c r="Q264">
        <v>626</v>
      </c>
    </row>
    <row r="265" spans="1:17" ht="14.25">
      <c r="A265">
        <v>261</v>
      </c>
      <c r="B265" t="str">
        <f t="shared" si="45"/>
        <v>160502</v>
      </c>
      <c r="C265" t="str">
        <f t="shared" si="46"/>
        <v>gm. Krapkowice</v>
      </c>
      <c r="D265" t="str">
        <f t="shared" si="44"/>
        <v>krapkowicki</v>
      </c>
      <c r="E265" t="str">
        <f t="shared" si="47"/>
        <v>opolskie</v>
      </c>
      <c r="F265">
        <v>11</v>
      </c>
      <c r="G265" t="str">
        <f>"Publiczna Szkoła Podstawowa, ul. Chrobrego 15, Rogów Opolski"</f>
        <v>Publiczna Szkoła Podstawowa, ul. Chrobrego 15, Rogów Opolski</v>
      </c>
      <c r="H265">
        <v>922</v>
      </c>
      <c r="I265">
        <v>880</v>
      </c>
      <c r="J265">
        <v>375</v>
      </c>
      <c r="K265">
        <v>0</v>
      </c>
      <c r="L265">
        <v>505</v>
      </c>
      <c r="M265">
        <v>375</v>
      </c>
      <c r="N265">
        <v>372</v>
      </c>
      <c r="O265">
        <v>3</v>
      </c>
      <c r="P265">
        <v>56</v>
      </c>
      <c r="Q265">
        <v>316</v>
      </c>
    </row>
    <row r="266" spans="1:17" ht="14.25">
      <c r="A266">
        <v>262</v>
      </c>
      <c r="B266" t="str">
        <f t="shared" si="45"/>
        <v>160502</v>
      </c>
      <c r="C266" t="str">
        <f t="shared" si="46"/>
        <v>gm. Krapkowice</v>
      </c>
      <c r="D266" t="str">
        <f t="shared" si="44"/>
        <v>krapkowicki</v>
      </c>
      <c r="E266" t="str">
        <f t="shared" si="47"/>
        <v>opolskie</v>
      </c>
      <c r="F266">
        <v>12</v>
      </c>
      <c r="G266" t="str">
        <f>"Publiczna Szkoła Podstawowa, ul. Opolska 64, Dąbrówka Górna"</f>
        <v>Publiczna Szkoła Podstawowa, ul. Opolska 64, Dąbrówka Górna</v>
      </c>
      <c r="H266">
        <v>736</v>
      </c>
      <c r="I266">
        <v>723</v>
      </c>
      <c r="J266">
        <v>265</v>
      </c>
      <c r="K266">
        <v>0</v>
      </c>
      <c r="L266">
        <v>458</v>
      </c>
      <c r="M266">
        <v>265</v>
      </c>
      <c r="N266">
        <v>264</v>
      </c>
      <c r="O266">
        <v>1</v>
      </c>
      <c r="P266">
        <v>44</v>
      </c>
      <c r="Q266">
        <v>220</v>
      </c>
    </row>
    <row r="267" spans="1:17" ht="14.25">
      <c r="A267">
        <v>263</v>
      </c>
      <c r="B267" t="str">
        <f t="shared" si="45"/>
        <v>160502</v>
      </c>
      <c r="C267" t="str">
        <f t="shared" si="46"/>
        <v>gm. Krapkowice</v>
      </c>
      <c r="D267" t="str">
        <f t="shared" si="44"/>
        <v>krapkowicki</v>
      </c>
      <c r="E267" t="str">
        <f t="shared" si="47"/>
        <v>opolskie</v>
      </c>
      <c r="F267">
        <v>13</v>
      </c>
      <c r="G267" t="str">
        <f>"Publiczna Szkoła Podstawowa, ul. Szkolna 2, Steblów"</f>
        <v>Publiczna Szkoła Podstawowa, ul. Szkolna 2, Steblów</v>
      </c>
      <c r="H267">
        <v>800</v>
      </c>
      <c r="I267">
        <v>713</v>
      </c>
      <c r="J267">
        <v>303</v>
      </c>
      <c r="K267">
        <v>0</v>
      </c>
      <c r="L267">
        <v>410</v>
      </c>
      <c r="M267">
        <v>303</v>
      </c>
      <c r="N267">
        <v>298</v>
      </c>
      <c r="O267">
        <v>5</v>
      </c>
      <c r="P267">
        <v>84</v>
      </c>
      <c r="Q267">
        <v>214</v>
      </c>
    </row>
    <row r="268" spans="1:17" ht="14.25">
      <c r="A268">
        <v>264</v>
      </c>
      <c r="B268" t="str">
        <f t="shared" si="45"/>
        <v>160502</v>
      </c>
      <c r="C268" t="str">
        <f t="shared" si="46"/>
        <v>gm. Krapkowice</v>
      </c>
      <c r="D268" t="str">
        <f t="shared" si="44"/>
        <v>krapkowicki</v>
      </c>
      <c r="E268" t="str">
        <f t="shared" si="47"/>
        <v>opolskie</v>
      </c>
      <c r="F268">
        <v>14</v>
      </c>
      <c r="G268" t="str">
        <f>"Świetlica OSP, ul. Szkolna 27, Ściborowice"</f>
        <v>Świetlica OSP, ul. Szkolna 27, Ściborowice</v>
      </c>
      <c r="H268">
        <v>417</v>
      </c>
      <c r="I268">
        <v>400</v>
      </c>
      <c r="J268">
        <v>124</v>
      </c>
      <c r="K268">
        <v>0</v>
      </c>
      <c r="L268">
        <v>276</v>
      </c>
      <c r="M268">
        <v>124</v>
      </c>
      <c r="N268">
        <v>124</v>
      </c>
      <c r="O268">
        <v>0</v>
      </c>
      <c r="P268">
        <v>32</v>
      </c>
      <c r="Q268">
        <v>92</v>
      </c>
    </row>
    <row r="269" spans="1:17" ht="14.25">
      <c r="A269">
        <v>265</v>
      </c>
      <c r="B269" t="str">
        <f t="shared" si="45"/>
        <v>160502</v>
      </c>
      <c r="C269" t="str">
        <f t="shared" si="46"/>
        <v>gm. Krapkowice</v>
      </c>
      <c r="D269" t="str">
        <f t="shared" si="44"/>
        <v>krapkowicki</v>
      </c>
      <c r="E269" t="str">
        <f t="shared" si="47"/>
        <v>opolskie</v>
      </c>
      <c r="F269">
        <v>15</v>
      </c>
      <c r="G269" t="str">
        <f>"Publiczna Szkoła Podstawowa, ul. Średnia nr 48, Żywocice"</f>
        <v>Publiczna Szkoła Podstawowa, ul. Średnia nr 48, Żywocice</v>
      </c>
      <c r="H269">
        <v>1183</v>
      </c>
      <c r="I269">
        <v>1119</v>
      </c>
      <c r="J269">
        <v>498</v>
      </c>
      <c r="K269">
        <v>0</v>
      </c>
      <c r="L269">
        <v>621</v>
      </c>
      <c r="M269">
        <v>498</v>
      </c>
      <c r="N269">
        <v>494</v>
      </c>
      <c r="O269">
        <v>4</v>
      </c>
      <c r="P269">
        <v>125</v>
      </c>
      <c r="Q269">
        <v>369</v>
      </c>
    </row>
    <row r="270" spans="1:17" ht="14.25">
      <c r="A270">
        <v>266</v>
      </c>
      <c r="B270" t="str">
        <f t="shared" si="45"/>
        <v>160502</v>
      </c>
      <c r="C270" t="str">
        <f t="shared" si="46"/>
        <v>gm. Krapkowice</v>
      </c>
      <c r="D270" t="str">
        <f t="shared" si="44"/>
        <v>krapkowicki</v>
      </c>
      <c r="E270" t="str">
        <f t="shared" si="47"/>
        <v>opolskie</v>
      </c>
      <c r="F270">
        <v>16</v>
      </c>
      <c r="G270" t="str">
        <f>"Publiczna Szkoła Podstawowa, ul. Główna 2, Kórnica"</f>
        <v>Publiczna Szkoła Podstawowa, ul. Główna 2, Kórnica</v>
      </c>
      <c r="H270">
        <v>661</v>
      </c>
      <c r="I270">
        <v>639</v>
      </c>
      <c r="J270">
        <v>221</v>
      </c>
      <c r="K270">
        <v>0</v>
      </c>
      <c r="L270">
        <v>418</v>
      </c>
      <c r="M270">
        <v>221</v>
      </c>
      <c r="N270">
        <v>220</v>
      </c>
      <c r="O270">
        <v>1</v>
      </c>
      <c r="P270">
        <v>68</v>
      </c>
      <c r="Q270">
        <v>152</v>
      </c>
    </row>
    <row r="271" spans="1:17" ht="14.25">
      <c r="A271">
        <v>267</v>
      </c>
      <c r="B271" t="str">
        <f t="shared" si="45"/>
        <v>160502</v>
      </c>
      <c r="C271" t="str">
        <f t="shared" si="46"/>
        <v>gm. Krapkowice</v>
      </c>
      <c r="D271" t="str">
        <f t="shared" si="44"/>
        <v>krapkowicki</v>
      </c>
      <c r="E271" t="str">
        <f t="shared" si="47"/>
        <v>opolskie</v>
      </c>
      <c r="F271">
        <v>17</v>
      </c>
      <c r="G271" t="str">
        <f>"Publiczna Szkoła Podstawowa, ul. Szkolna 3, Żużela"</f>
        <v>Publiczna Szkoła Podstawowa, ul. Szkolna 3, Żużela</v>
      </c>
      <c r="H271">
        <v>541</v>
      </c>
      <c r="I271">
        <v>584</v>
      </c>
      <c r="J271">
        <v>148</v>
      </c>
      <c r="K271">
        <v>0</v>
      </c>
      <c r="L271">
        <v>436</v>
      </c>
      <c r="M271">
        <v>148</v>
      </c>
      <c r="N271">
        <v>147</v>
      </c>
      <c r="O271">
        <v>1</v>
      </c>
      <c r="P271">
        <v>27</v>
      </c>
      <c r="Q271">
        <v>120</v>
      </c>
    </row>
    <row r="272" spans="1:17" ht="14.25">
      <c r="A272">
        <v>268</v>
      </c>
      <c r="B272" t="str">
        <f t="shared" si="45"/>
        <v>160502</v>
      </c>
      <c r="C272" t="str">
        <f t="shared" si="46"/>
        <v>gm. Krapkowice</v>
      </c>
      <c r="D272" t="str">
        <f t="shared" si="44"/>
        <v>krapkowicki</v>
      </c>
      <c r="E272" t="str">
        <f t="shared" si="47"/>
        <v>opolskie</v>
      </c>
      <c r="F272">
        <v>18</v>
      </c>
      <c r="G272" t="str">
        <f>"Szpital Rejonowy w Krapkowicach-Otmęcie, Osiedle XXX-lecia 21, Krapkowice"</f>
        <v>Szpital Rejonowy w Krapkowicach-Otmęcie, Osiedle XXX-lecia 21, Krapkowice</v>
      </c>
      <c r="H272">
        <v>71</v>
      </c>
      <c r="I272">
        <v>97</v>
      </c>
      <c r="J272">
        <v>14</v>
      </c>
      <c r="K272">
        <v>0</v>
      </c>
      <c r="L272">
        <v>83</v>
      </c>
      <c r="M272">
        <v>14</v>
      </c>
      <c r="N272">
        <v>14</v>
      </c>
      <c r="O272">
        <v>0</v>
      </c>
      <c r="P272">
        <v>3</v>
      </c>
      <c r="Q272">
        <v>11</v>
      </c>
    </row>
    <row r="273" spans="1:17" ht="14.25">
      <c r="A273">
        <v>269</v>
      </c>
      <c r="B273" t="str">
        <f>"160503"</f>
        <v>160503</v>
      </c>
      <c r="C273" t="str">
        <f>"gm. Strzeleczki"</f>
        <v>gm. Strzeleczki</v>
      </c>
      <c r="D273" t="str">
        <f t="shared" si="44"/>
        <v>krapkowicki</v>
      </c>
      <c r="E273" t="str">
        <f t="shared" si="47"/>
        <v>opolskie</v>
      </c>
      <c r="F273">
        <v>1</v>
      </c>
      <c r="G273" t="str">
        <f>"Szkoła Podstawowa w Strzeleczkach, ul. Sienkiewicza 3, Strzeleczki"</f>
        <v>Szkoła Podstawowa w Strzeleczkach, ul. Sienkiewicza 3, Strzeleczki</v>
      </c>
      <c r="H273">
        <v>1308</v>
      </c>
      <c r="I273">
        <v>1200</v>
      </c>
      <c r="J273">
        <v>525</v>
      </c>
      <c r="K273">
        <v>0</v>
      </c>
      <c r="L273">
        <v>675</v>
      </c>
      <c r="M273">
        <v>525</v>
      </c>
      <c r="N273">
        <v>517</v>
      </c>
      <c r="O273">
        <v>8</v>
      </c>
      <c r="P273">
        <v>85</v>
      </c>
      <c r="Q273">
        <v>432</v>
      </c>
    </row>
    <row r="274" spans="1:17" ht="14.25">
      <c r="A274">
        <v>270</v>
      </c>
      <c r="B274" t="str">
        <f>"160503"</f>
        <v>160503</v>
      </c>
      <c r="C274" t="str">
        <f>"gm. Strzeleczki"</f>
        <v>gm. Strzeleczki</v>
      </c>
      <c r="D274" t="str">
        <f aca="true" t="shared" si="48" ref="D274:D292">"krapkowicki"</f>
        <v>krapkowicki</v>
      </c>
      <c r="E274" t="str">
        <f t="shared" si="47"/>
        <v>opolskie</v>
      </c>
      <c r="F274">
        <v>2</v>
      </c>
      <c r="G274" t="str">
        <f>"Szkoła Podstawowa w Racławiczkach, ul. Szkolna 6, Racławiczki"</f>
        <v>Szkoła Podstawowa w Racławiczkach, ul. Szkolna 6, Racławiczki</v>
      </c>
      <c r="H274">
        <v>1538</v>
      </c>
      <c r="I274">
        <v>1440</v>
      </c>
      <c r="J274">
        <v>560</v>
      </c>
      <c r="K274">
        <v>0</v>
      </c>
      <c r="L274">
        <v>880</v>
      </c>
      <c r="M274">
        <v>560</v>
      </c>
      <c r="N274">
        <v>550</v>
      </c>
      <c r="O274">
        <v>10</v>
      </c>
      <c r="P274">
        <v>139</v>
      </c>
      <c r="Q274">
        <v>411</v>
      </c>
    </row>
    <row r="275" spans="1:17" ht="14.25">
      <c r="A275">
        <v>271</v>
      </c>
      <c r="B275" t="str">
        <f>"160503"</f>
        <v>160503</v>
      </c>
      <c r="C275" t="str">
        <f>"gm. Strzeleczki"</f>
        <v>gm. Strzeleczki</v>
      </c>
      <c r="D275" t="str">
        <f t="shared" si="48"/>
        <v>krapkowicki</v>
      </c>
      <c r="E275" t="str">
        <f t="shared" si="47"/>
        <v>opolskie</v>
      </c>
      <c r="F275">
        <v>3</v>
      </c>
      <c r="G275" t="str">
        <f>"Szkoła Podstawowa w Zielinie, ul. Prudnicka 8, Zielina"</f>
        <v>Szkoła Podstawowa w Zielinie, ul. Prudnicka 8, Zielina</v>
      </c>
      <c r="H275">
        <v>1443</v>
      </c>
      <c r="I275">
        <v>1360</v>
      </c>
      <c r="J275">
        <v>519</v>
      </c>
      <c r="K275">
        <v>0</v>
      </c>
      <c r="L275">
        <v>841</v>
      </c>
      <c r="M275">
        <v>519</v>
      </c>
      <c r="N275">
        <v>513</v>
      </c>
      <c r="O275">
        <v>6</v>
      </c>
      <c r="P275">
        <v>122</v>
      </c>
      <c r="Q275">
        <v>391</v>
      </c>
    </row>
    <row r="276" spans="1:17" ht="14.25">
      <c r="A276">
        <v>272</v>
      </c>
      <c r="B276" t="str">
        <f>"160503"</f>
        <v>160503</v>
      </c>
      <c r="C276" t="str">
        <f>"gm. Strzeleczki"</f>
        <v>gm. Strzeleczki</v>
      </c>
      <c r="D276" t="str">
        <f t="shared" si="48"/>
        <v>krapkowicki</v>
      </c>
      <c r="E276" t="str">
        <f t="shared" si="47"/>
        <v>opolskie</v>
      </c>
      <c r="F276">
        <v>4</v>
      </c>
      <c r="G276" t="str">
        <f>"Szkoła Podstawowa w Komornikach, ul. Szkolna 4, Komorniki"</f>
        <v>Szkoła Podstawowa w Komornikach, ul. Szkolna 4, Komorniki</v>
      </c>
      <c r="H276">
        <v>1282</v>
      </c>
      <c r="I276">
        <v>1200</v>
      </c>
      <c r="J276">
        <v>355</v>
      </c>
      <c r="K276">
        <v>0</v>
      </c>
      <c r="L276">
        <v>845</v>
      </c>
      <c r="M276">
        <v>355</v>
      </c>
      <c r="N276">
        <v>354</v>
      </c>
      <c r="O276">
        <v>1</v>
      </c>
      <c r="P276">
        <v>41</v>
      </c>
      <c r="Q276">
        <v>313</v>
      </c>
    </row>
    <row r="277" spans="1:17" ht="14.25">
      <c r="A277">
        <v>273</v>
      </c>
      <c r="B277" t="str">
        <f>"160503"</f>
        <v>160503</v>
      </c>
      <c r="C277" t="str">
        <f>"gm. Strzeleczki"</f>
        <v>gm. Strzeleczki</v>
      </c>
      <c r="D277" t="str">
        <f t="shared" si="48"/>
        <v>krapkowicki</v>
      </c>
      <c r="E277" t="str">
        <f t="shared" si="47"/>
        <v>opolskie</v>
      </c>
      <c r="F277">
        <v>5</v>
      </c>
      <c r="G277" t="str">
        <f>"Szkoła Podstawowa w Dobrej, ul. Szkolna 37, Dobra"</f>
        <v>Szkoła Podstawowa w Dobrej, ul. Szkolna 37, Dobra</v>
      </c>
      <c r="H277">
        <v>643</v>
      </c>
      <c r="I277">
        <v>640</v>
      </c>
      <c r="J277">
        <v>230</v>
      </c>
      <c r="K277">
        <v>0</v>
      </c>
      <c r="L277">
        <v>410</v>
      </c>
      <c r="M277">
        <v>230</v>
      </c>
      <c r="N277">
        <v>226</v>
      </c>
      <c r="O277">
        <v>4</v>
      </c>
      <c r="P277">
        <v>48</v>
      </c>
      <c r="Q277">
        <v>178</v>
      </c>
    </row>
    <row r="278" spans="1:17" ht="14.25">
      <c r="A278">
        <v>274</v>
      </c>
      <c r="B278" t="str">
        <f>"160504"</f>
        <v>160504</v>
      </c>
      <c r="C278" t="str">
        <f>"gm. Walce"</f>
        <v>gm. Walce</v>
      </c>
      <c r="D278" t="str">
        <f t="shared" si="48"/>
        <v>krapkowicki</v>
      </c>
      <c r="E278" t="str">
        <f t="shared" si="47"/>
        <v>opolskie</v>
      </c>
      <c r="F278">
        <v>1</v>
      </c>
      <c r="G278" t="str">
        <f>"Publiczna Szkoła Podstawowa,ul.Lipowa 2, Walce"</f>
        <v>Publiczna Szkoła Podstawowa,ul.Lipowa 2, Walce</v>
      </c>
      <c r="H278">
        <v>1986</v>
      </c>
      <c r="I278">
        <v>1843</v>
      </c>
      <c r="J278">
        <v>653</v>
      </c>
      <c r="K278">
        <v>0</v>
      </c>
      <c r="L278">
        <v>1190</v>
      </c>
      <c r="M278">
        <v>653</v>
      </c>
      <c r="N278">
        <v>645</v>
      </c>
      <c r="O278">
        <v>8</v>
      </c>
      <c r="P278">
        <v>118</v>
      </c>
      <c r="Q278">
        <v>527</v>
      </c>
    </row>
    <row r="279" spans="1:17" ht="14.25">
      <c r="A279">
        <v>275</v>
      </c>
      <c r="B279" t="str">
        <f>"160504"</f>
        <v>160504</v>
      </c>
      <c r="C279" t="str">
        <f>"gm. Walce"</f>
        <v>gm. Walce</v>
      </c>
      <c r="D279" t="str">
        <f t="shared" si="48"/>
        <v>krapkowicki</v>
      </c>
      <c r="E279" t="str">
        <f t="shared" si="47"/>
        <v>opolskie</v>
      </c>
      <c r="F279">
        <v>2</v>
      </c>
      <c r="G279" t="str">
        <f>"Publiczna Szkoła Podstawowa, ul.Reymonta 65, Brożec"</f>
        <v>Publiczna Szkoła Podstawowa, ul.Reymonta 65, Brożec</v>
      </c>
      <c r="H279">
        <v>1061</v>
      </c>
      <c r="I279">
        <v>961</v>
      </c>
      <c r="J279">
        <v>395</v>
      </c>
      <c r="K279">
        <v>0</v>
      </c>
      <c r="L279">
        <v>566</v>
      </c>
      <c r="M279">
        <v>395</v>
      </c>
      <c r="N279">
        <v>386</v>
      </c>
      <c r="O279">
        <v>9</v>
      </c>
      <c r="P279">
        <v>72</v>
      </c>
      <c r="Q279">
        <v>314</v>
      </c>
    </row>
    <row r="280" spans="1:17" ht="14.25">
      <c r="A280">
        <v>276</v>
      </c>
      <c r="B280" t="str">
        <f>"160504"</f>
        <v>160504</v>
      </c>
      <c r="C280" t="str">
        <f>"gm. Walce"</f>
        <v>gm. Walce</v>
      </c>
      <c r="D280" t="str">
        <f t="shared" si="48"/>
        <v>krapkowicki</v>
      </c>
      <c r="E280" t="str">
        <f t="shared" si="47"/>
        <v>opolskie</v>
      </c>
      <c r="F280">
        <v>3</v>
      </c>
      <c r="G280" t="str">
        <f>"Budynek Wielofunkcyjny, ul. Wiejska 19 a, Rozkochów"</f>
        <v>Budynek Wielofunkcyjny, ul. Wiejska 19 a, Rozkochów</v>
      </c>
      <c r="H280">
        <v>504</v>
      </c>
      <c r="I280">
        <v>575</v>
      </c>
      <c r="J280">
        <v>148</v>
      </c>
      <c r="K280">
        <v>0</v>
      </c>
      <c r="L280">
        <v>427</v>
      </c>
      <c r="M280">
        <v>148</v>
      </c>
      <c r="N280">
        <v>140</v>
      </c>
      <c r="O280">
        <v>8</v>
      </c>
      <c r="P280">
        <v>30</v>
      </c>
      <c r="Q280">
        <v>110</v>
      </c>
    </row>
    <row r="281" spans="1:17" ht="14.25">
      <c r="A281">
        <v>277</v>
      </c>
      <c r="B281" t="str">
        <f>"160504"</f>
        <v>160504</v>
      </c>
      <c r="C281" t="str">
        <f>"gm. Walce"</f>
        <v>gm. Walce</v>
      </c>
      <c r="D281" t="str">
        <f t="shared" si="48"/>
        <v>krapkowicki</v>
      </c>
      <c r="E281" t="str">
        <f t="shared" si="47"/>
        <v>opolskie</v>
      </c>
      <c r="F281">
        <v>4</v>
      </c>
      <c r="G281" t="str">
        <f>"Remiza OSP, ul.Opolska 31, Stradunia"</f>
        <v>Remiza OSP, ul.Opolska 31, Stradunia</v>
      </c>
      <c r="H281">
        <v>712</v>
      </c>
      <c r="I281">
        <v>718</v>
      </c>
      <c r="J281">
        <v>272</v>
      </c>
      <c r="K281">
        <v>0</v>
      </c>
      <c r="L281">
        <v>446</v>
      </c>
      <c r="M281">
        <v>272</v>
      </c>
      <c r="N281">
        <v>267</v>
      </c>
      <c r="O281">
        <v>5</v>
      </c>
      <c r="P281">
        <v>59</v>
      </c>
      <c r="Q281">
        <v>208</v>
      </c>
    </row>
    <row r="282" spans="1:17" ht="14.25">
      <c r="A282">
        <v>278</v>
      </c>
      <c r="B282" t="str">
        <f>"160504"</f>
        <v>160504</v>
      </c>
      <c r="C282" t="str">
        <f>"gm. Walce"</f>
        <v>gm. Walce</v>
      </c>
      <c r="D282" t="str">
        <f t="shared" si="48"/>
        <v>krapkowicki</v>
      </c>
      <c r="E282" t="str">
        <f t="shared" si="47"/>
        <v>opolskie</v>
      </c>
      <c r="F282">
        <v>5</v>
      </c>
      <c r="G282" t="str">
        <f>"Budynek gminny (b.przedszkole), ul. Główna 22, Dobieszowice"</f>
        <v>Budynek gminny (b.przedszkole), ul. Główna 22, Dobieszowice</v>
      </c>
      <c r="H282">
        <v>415</v>
      </c>
      <c r="I282">
        <v>400</v>
      </c>
      <c r="J282">
        <v>108</v>
      </c>
      <c r="K282">
        <v>0</v>
      </c>
      <c r="L282">
        <v>292</v>
      </c>
      <c r="M282">
        <v>108</v>
      </c>
      <c r="N282">
        <v>108</v>
      </c>
      <c r="O282">
        <v>0</v>
      </c>
      <c r="P282">
        <v>32</v>
      </c>
      <c r="Q282">
        <v>76</v>
      </c>
    </row>
    <row r="283" spans="1:17" ht="14.25">
      <c r="A283">
        <v>279</v>
      </c>
      <c r="B283" t="str">
        <f aca="true" t="shared" si="49" ref="B283:B292">"160505"</f>
        <v>160505</v>
      </c>
      <c r="C283" t="str">
        <f aca="true" t="shared" si="50" ref="C283:C292">"gm. Zdzieszowice"</f>
        <v>gm. Zdzieszowice</v>
      </c>
      <c r="D283" t="str">
        <f t="shared" si="48"/>
        <v>krapkowicki</v>
      </c>
      <c r="E283" t="str">
        <f t="shared" si="47"/>
        <v>opolskie</v>
      </c>
      <c r="F283">
        <v>1</v>
      </c>
      <c r="G283" t="str">
        <f>"Publiczna Szkoła Podstawowa Nr 1-sala gimnastyczna , ul. Bolesława Chrobrego Nr 36, Zdzieszowice"</f>
        <v>Publiczna Szkoła Podstawowa Nr 1-sala gimnastyczna , ul. Bolesława Chrobrego Nr 36, Zdzieszowice</v>
      </c>
      <c r="H283">
        <v>1381</v>
      </c>
      <c r="I283">
        <v>1275</v>
      </c>
      <c r="J283">
        <v>451</v>
      </c>
      <c r="K283">
        <v>0</v>
      </c>
      <c r="L283">
        <v>824</v>
      </c>
      <c r="M283">
        <v>451</v>
      </c>
      <c r="N283">
        <v>448</v>
      </c>
      <c r="O283">
        <v>3</v>
      </c>
      <c r="P283">
        <v>109</v>
      </c>
      <c r="Q283">
        <v>339</v>
      </c>
    </row>
    <row r="284" spans="1:17" ht="14.25">
      <c r="A284">
        <v>280</v>
      </c>
      <c r="B284" t="str">
        <f t="shared" si="49"/>
        <v>160505</v>
      </c>
      <c r="C284" t="str">
        <f t="shared" si="50"/>
        <v>gm. Zdzieszowice</v>
      </c>
      <c r="D284" t="str">
        <f t="shared" si="48"/>
        <v>krapkowicki</v>
      </c>
      <c r="E284" t="str">
        <f t="shared" si="47"/>
        <v>opolskie</v>
      </c>
      <c r="F284">
        <v>2</v>
      </c>
      <c r="G284" t="str">
        <f>"Publiczna Szkoła Podstawowa Nr 2, ul. Plac 1 Maja nr 1, Zdzieszowice"</f>
        <v>Publiczna Szkoła Podstawowa Nr 2, ul. Plac 1 Maja nr 1, Zdzieszowice</v>
      </c>
      <c r="H284">
        <v>1778</v>
      </c>
      <c r="I284">
        <v>1680</v>
      </c>
      <c r="J284">
        <v>725</v>
      </c>
      <c r="K284">
        <v>1</v>
      </c>
      <c r="L284">
        <v>955</v>
      </c>
      <c r="M284">
        <v>725</v>
      </c>
      <c r="N284">
        <v>713</v>
      </c>
      <c r="O284">
        <v>12</v>
      </c>
      <c r="P284">
        <v>177</v>
      </c>
      <c r="Q284">
        <v>536</v>
      </c>
    </row>
    <row r="285" spans="1:17" ht="14.25">
      <c r="A285">
        <v>281</v>
      </c>
      <c r="B285" t="str">
        <f t="shared" si="49"/>
        <v>160505</v>
      </c>
      <c r="C285" t="str">
        <f t="shared" si="50"/>
        <v>gm. Zdzieszowice</v>
      </c>
      <c r="D285" t="str">
        <f t="shared" si="48"/>
        <v>krapkowicki</v>
      </c>
      <c r="E285" t="str">
        <f t="shared" si="47"/>
        <v>opolskie</v>
      </c>
      <c r="F285">
        <v>3</v>
      </c>
      <c r="G285" t="str">
        <f>"Publiczne Gimnazjum, ul. Nowa Nr 3, Zdzieszowice"</f>
        <v>Publiczne Gimnazjum, ul. Nowa Nr 3, Zdzieszowice</v>
      </c>
      <c r="H285">
        <v>1977</v>
      </c>
      <c r="I285">
        <v>1840</v>
      </c>
      <c r="J285">
        <v>780</v>
      </c>
      <c r="K285">
        <v>1</v>
      </c>
      <c r="L285">
        <v>1060</v>
      </c>
      <c r="M285">
        <v>780</v>
      </c>
      <c r="N285">
        <v>778</v>
      </c>
      <c r="O285">
        <v>2</v>
      </c>
      <c r="P285">
        <v>196</v>
      </c>
      <c r="Q285">
        <v>582</v>
      </c>
    </row>
    <row r="286" spans="1:17" ht="14.25">
      <c r="A286">
        <v>282</v>
      </c>
      <c r="B286" t="str">
        <f t="shared" si="49"/>
        <v>160505</v>
      </c>
      <c r="C286" t="str">
        <f t="shared" si="50"/>
        <v>gm. Zdzieszowice</v>
      </c>
      <c r="D286" t="str">
        <f t="shared" si="48"/>
        <v>krapkowicki</v>
      </c>
      <c r="E286" t="str">
        <f t="shared" si="47"/>
        <v>opolskie</v>
      </c>
      <c r="F286">
        <v>4</v>
      </c>
      <c r="G286" t="str">
        <f>"Zespół Szkół im. Jana Pawła II, ul. Góry św. Anny Nr 21a, Zdzieszowice"</f>
        <v>Zespół Szkół im. Jana Pawła II, ul. Góry św. Anny Nr 21a, Zdzieszowice</v>
      </c>
      <c r="H286">
        <v>1744</v>
      </c>
      <c r="I286">
        <v>1600</v>
      </c>
      <c r="J286">
        <v>865</v>
      </c>
      <c r="K286">
        <v>0</v>
      </c>
      <c r="L286">
        <v>735</v>
      </c>
      <c r="M286">
        <v>865</v>
      </c>
      <c r="N286">
        <v>852</v>
      </c>
      <c r="O286">
        <v>13</v>
      </c>
      <c r="P286">
        <v>196</v>
      </c>
      <c r="Q286">
        <v>656</v>
      </c>
    </row>
    <row r="287" spans="1:17" ht="14.25">
      <c r="A287">
        <v>283</v>
      </c>
      <c r="B287" t="str">
        <f t="shared" si="49"/>
        <v>160505</v>
      </c>
      <c r="C287" t="str">
        <f t="shared" si="50"/>
        <v>gm. Zdzieszowice</v>
      </c>
      <c r="D287" t="str">
        <f t="shared" si="48"/>
        <v>krapkowicki</v>
      </c>
      <c r="E287" t="str">
        <f t="shared" si="47"/>
        <v>opolskie</v>
      </c>
      <c r="F287">
        <v>5</v>
      </c>
      <c r="G287" t="str">
        <f>"Ośrodek Profilaktyki i Wspierania Rodziny, ul. Bolesława Chrobrego nr 18, Zdzieszowice"</f>
        <v>Ośrodek Profilaktyki i Wspierania Rodziny, ul. Bolesława Chrobrego nr 18, Zdzieszowice</v>
      </c>
      <c r="H287">
        <v>1375</v>
      </c>
      <c r="I287">
        <v>1278</v>
      </c>
      <c r="J287">
        <v>624</v>
      </c>
      <c r="K287">
        <v>0</v>
      </c>
      <c r="L287">
        <v>654</v>
      </c>
      <c r="M287">
        <v>624</v>
      </c>
      <c r="N287">
        <v>616</v>
      </c>
      <c r="O287">
        <v>8</v>
      </c>
      <c r="P287">
        <v>175</v>
      </c>
      <c r="Q287">
        <v>441</v>
      </c>
    </row>
    <row r="288" spans="1:17" ht="14.25">
      <c r="A288">
        <v>284</v>
      </c>
      <c r="B288" t="str">
        <f t="shared" si="49"/>
        <v>160505</v>
      </c>
      <c r="C288" t="str">
        <f t="shared" si="50"/>
        <v>gm. Zdzieszowice</v>
      </c>
      <c r="D288" t="str">
        <f t="shared" si="48"/>
        <v>krapkowicki</v>
      </c>
      <c r="E288" t="str">
        <f t="shared" si="47"/>
        <v>opolskie</v>
      </c>
      <c r="F288">
        <v>6</v>
      </c>
      <c r="G288" t="str">
        <f>"Żłobek Samorządowy, ul. Piastów nr 20, Zdzieszowice"</f>
        <v>Żłobek Samorządowy, ul. Piastów nr 20, Zdzieszowice</v>
      </c>
      <c r="H288">
        <v>1561</v>
      </c>
      <c r="I288">
        <v>1440</v>
      </c>
      <c r="J288">
        <v>702</v>
      </c>
      <c r="K288">
        <v>0</v>
      </c>
      <c r="L288">
        <v>738</v>
      </c>
      <c r="M288">
        <v>702</v>
      </c>
      <c r="N288">
        <v>694</v>
      </c>
      <c r="O288">
        <v>8</v>
      </c>
      <c r="P288">
        <v>219</v>
      </c>
      <c r="Q288">
        <v>475</v>
      </c>
    </row>
    <row r="289" spans="1:17" ht="14.25">
      <c r="A289">
        <v>285</v>
      </c>
      <c r="B289" t="str">
        <f t="shared" si="49"/>
        <v>160505</v>
      </c>
      <c r="C289" t="str">
        <f t="shared" si="50"/>
        <v>gm. Zdzieszowice</v>
      </c>
      <c r="D289" t="str">
        <f t="shared" si="48"/>
        <v>krapkowicki</v>
      </c>
      <c r="E289" t="str">
        <f t="shared" si="47"/>
        <v>opolskie</v>
      </c>
      <c r="F289">
        <v>7</v>
      </c>
      <c r="G289" t="str">
        <f>"Publiczna Szkoła Podstawowa, ul. Lesiańska Nr 6, Januszkowice"</f>
        <v>Publiczna Szkoła Podstawowa, ul. Lesiańska Nr 6, Januszkowice</v>
      </c>
      <c r="H289">
        <v>855</v>
      </c>
      <c r="I289">
        <v>800</v>
      </c>
      <c r="J289">
        <v>314</v>
      </c>
      <c r="K289">
        <v>0</v>
      </c>
      <c r="L289">
        <v>486</v>
      </c>
      <c r="M289">
        <v>314</v>
      </c>
      <c r="N289">
        <v>313</v>
      </c>
      <c r="O289">
        <v>1</v>
      </c>
      <c r="P289">
        <v>84</v>
      </c>
      <c r="Q289">
        <v>229</v>
      </c>
    </row>
    <row r="290" spans="1:17" ht="14.25">
      <c r="A290">
        <v>286</v>
      </c>
      <c r="B290" t="str">
        <f t="shared" si="49"/>
        <v>160505</v>
      </c>
      <c r="C290" t="str">
        <f t="shared" si="50"/>
        <v>gm. Zdzieszowice</v>
      </c>
      <c r="D290" t="str">
        <f t="shared" si="48"/>
        <v>krapkowicki</v>
      </c>
      <c r="E290" t="str">
        <f t="shared" si="47"/>
        <v>opolskie</v>
      </c>
      <c r="F290">
        <v>8</v>
      </c>
      <c r="G290" t="str">
        <f>"Publiczna Szkoła Podstawowa, ul. Szkolna Nr 5, Rozwadza"</f>
        <v>Publiczna Szkoła Podstawowa, ul. Szkolna Nr 5, Rozwadza</v>
      </c>
      <c r="H290">
        <v>854</v>
      </c>
      <c r="I290">
        <v>800</v>
      </c>
      <c r="J290">
        <v>279</v>
      </c>
      <c r="K290">
        <v>0</v>
      </c>
      <c r="L290">
        <v>521</v>
      </c>
      <c r="M290">
        <v>279</v>
      </c>
      <c r="N290">
        <v>277</v>
      </c>
      <c r="O290">
        <v>2</v>
      </c>
      <c r="P290">
        <v>63</v>
      </c>
      <c r="Q290">
        <v>214</v>
      </c>
    </row>
    <row r="291" spans="1:17" ht="14.25">
      <c r="A291">
        <v>287</v>
      </c>
      <c r="B291" t="str">
        <f t="shared" si="49"/>
        <v>160505</v>
      </c>
      <c r="C291" t="str">
        <f t="shared" si="50"/>
        <v>gm. Zdzieszowice</v>
      </c>
      <c r="D291" t="str">
        <f t="shared" si="48"/>
        <v>krapkowicki</v>
      </c>
      <c r="E291" t="str">
        <f t="shared" si="47"/>
        <v>opolskie</v>
      </c>
      <c r="F291">
        <v>9</v>
      </c>
      <c r="G291" t="str">
        <f>"Publiczna Szkoła Podstawowa, ul. Wojska Polskiego Nr 4, Żyrowa"</f>
        <v>Publiczna Szkoła Podstawowa, ul. Wojska Polskiego Nr 4, Żyrowa</v>
      </c>
      <c r="H291">
        <v>1113</v>
      </c>
      <c r="I291">
        <v>1040</v>
      </c>
      <c r="J291">
        <v>373</v>
      </c>
      <c r="K291">
        <v>0</v>
      </c>
      <c r="L291">
        <v>667</v>
      </c>
      <c r="M291">
        <v>373</v>
      </c>
      <c r="N291">
        <v>370</v>
      </c>
      <c r="O291">
        <v>3</v>
      </c>
      <c r="P291">
        <v>99</v>
      </c>
      <c r="Q291">
        <v>271</v>
      </c>
    </row>
    <row r="292" spans="1:17" ht="14.25">
      <c r="A292">
        <v>288</v>
      </c>
      <c r="B292" t="str">
        <f t="shared" si="49"/>
        <v>160505</v>
      </c>
      <c r="C292" t="str">
        <f t="shared" si="50"/>
        <v>gm. Zdzieszowice</v>
      </c>
      <c r="D292" t="str">
        <f t="shared" si="48"/>
        <v>krapkowicki</v>
      </c>
      <c r="E292" t="str">
        <f t="shared" si="47"/>
        <v>opolskie</v>
      </c>
      <c r="F292">
        <v>10</v>
      </c>
      <c r="G292" t="str">
        <f>"Publiczna Szkoła Podstawowa, ul. Zdzieszowicka nr 35, Krępna"</f>
        <v>Publiczna Szkoła Podstawowa, ul. Zdzieszowicka nr 35, Krępna</v>
      </c>
      <c r="H292">
        <v>641</v>
      </c>
      <c r="I292">
        <v>640</v>
      </c>
      <c r="J292">
        <v>184</v>
      </c>
      <c r="K292">
        <v>0</v>
      </c>
      <c r="L292">
        <v>456</v>
      </c>
      <c r="M292">
        <v>184</v>
      </c>
      <c r="N292">
        <v>184</v>
      </c>
      <c r="O292">
        <v>0</v>
      </c>
      <c r="P292">
        <v>32</v>
      </c>
      <c r="Q292">
        <v>152</v>
      </c>
    </row>
    <row r="293" spans="1:17" ht="14.25">
      <c r="A293">
        <v>289</v>
      </c>
      <c r="B293" t="str">
        <f aca="true" t="shared" si="51" ref="B293:B299">"160601"</f>
        <v>160601</v>
      </c>
      <c r="C293" t="str">
        <f aca="true" t="shared" si="52" ref="C293:C299">"gm. Domaszowice"</f>
        <v>gm. Domaszowice</v>
      </c>
      <c r="D293" t="str">
        <f aca="true" t="shared" si="53" ref="D293:D324">"namysłowski"</f>
        <v>namysłowski</v>
      </c>
      <c r="E293" t="str">
        <f t="shared" si="47"/>
        <v>opolskie</v>
      </c>
      <c r="F293">
        <v>1</v>
      </c>
      <c r="G293" t="str">
        <f>"Szkoła Podstawowa, ul. Kolejowa 3/3, Domaszowice"</f>
        <v>Szkoła Podstawowa, ul. Kolejowa 3/3, Domaszowice</v>
      </c>
      <c r="H293">
        <v>841</v>
      </c>
      <c r="I293">
        <v>800</v>
      </c>
      <c r="J293">
        <v>481</v>
      </c>
      <c r="K293">
        <v>0</v>
      </c>
      <c r="L293">
        <v>319</v>
      </c>
      <c r="M293">
        <v>481</v>
      </c>
      <c r="N293">
        <v>475</v>
      </c>
      <c r="O293">
        <v>6</v>
      </c>
      <c r="P293">
        <v>217</v>
      </c>
      <c r="Q293">
        <v>258</v>
      </c>
    </row>
    <row r="294" spans="1:17" ht="14.25">
      <c r="A294">
        <v>290</v>
      </c>
      <c r="B294" t="str">
        <f t="shared" si="51"/>
        <v>160601</v>
      </c>
      <c r="C294" t="str">
        <f t="shared" si="52"/>
        <v>gm. Domaszowice</v>
      </c>
      <c r="D294" t="str">
        <f t="shared" si="53"/>
        <v>namysłowski</v>
      </c>
      <c r="E294" t="str">
        <f t="shared" si="47"/>
        <v>opolskie</v>
      </c>
      <c r="F294">
        <v>2</v>
      </c>
      <c r="G294" t="str">
        <f>"Strażnica OSP, Włochy 21b, Włochy"</f>
        <v>Strażnica OSP, Włochy 21b, Włochy</v>
      </c>
      <c r="H294">
        <v>333</v>
      </c>
      <c r="I294">
        <v>323</v>
      </c>
      <c r="J294">
        <v>209</v>
      </c>
      <c r="K294">
        <v>0</v>
      </c>
      <c r="L294">
        <v>114</v>
      </c>
      <c r="M294">
        <v>209</v>
      </c>
      <c r="N294">
        <v>206</v>
      </c>
      <c r="O294">
        <v>3</v>
      </c>
      <c r="P294">
        <v>109</v>
      </c>
      <c r="Q294">
        <v>97</v>
      </c>
    </row>
    <row r="295" spans="1:17" ht="14.25">
      <c r="A295">
        <v>291</v>
      </c>
      <c r="B295" t="str">
        <f t="shared" si="51"/>
        <v>160601</v>
      </c>
      <c r="C295" t="str">
        <f t="shared" si="52"/>
        <v>gm. Domaszowice</v>
      </c>
      <c r="D295" t="str">
        <f t="shared" si="53"/>
        <v>namysłowski</v>
      </c>
      <c r="E295" t="str">
        <f t="shared" si="47"/>
        <v>opolskie</v>
      </c>
      <c r="F295">
        <v>3</v>
      </c>
      <c r="G295" t="str">
        <f>"Szkoła Podstawowa, Strzelce 42/2, Strzelce"</f>
        <v>Szkoła Podstawowa, Strzelce 42/2, Strzelce</v>
      </c>
      <c r="H295">
        <v>603</v>
      </c>
      <c r="I295">
        <v>640</v>
      </c>
      <c r="J295">
        <v>318</v>
      </c>
      <c r="K295">
        <v>0</v>
      </c>
      <c r="L295">
        <v>322</v>
      </c>
      <c r="M295">
        <v>318</v>
      </c>
      <c r="N295">
        <v>313</v>
      </c>
      <c r="O295">
        <v>5</v>
      </c>
      <c r="P295">
        <v>170</v>
      </c>
      <c r="Q295">
        <v>143</v>
      </c>
    </row>
    <row r="296" spans="1:17" ht="14.25">
      <c r="A296">
        <v>292</v>
      </c>
      <c r="B296" t="str">
        <f t="shared" si="51"/>
        <v>160601</v>
      </c>
      <c r="C296" t="str">
        <f t="shared" si="52"/>
        <v>gm. Domaszowice</v>
      </c>
      <c r="D296" t="str">
        <f t="shared" si="53"/>
        <v>namysłowski</v>
      </c>
      <c r="E296" t="str">
        <f t="shared" si="47"/>
        <v>opolskie</v>
      </c>
      <c r="F296">
        <v>4</v>
      </c>
      <c r="G296" t="str">
        <f>"Szkoła Podstawowa, Polkowskie 52, Polkowskie"</f>
        <v>Szkoła Podstawowa, Polkowskie 52, Polkowskie</v>
      </c>
      <c r="H296">
        <v>443</v>
      </c>
      <c r="I296">
        <v>483</v>
      </c>
      <c r="J296">
        <v>226</v>
      </c>
      <c r="K296">
        <v>0</v>
      </c>
      <c r="L296">
        <v>257</v>
      </c>
      <c r="M296">
        <v>226</v>
      </c>
      <c r="N296">
        <v>223</v>
      </c>
      <c r="O296">
        <v>3</v>
      </c>
      <c r="P296">
        <v>110</v>
      </c>
      <c r="Q296">
        <v>113</v>
      </c>
    </row>
    <row r="297" spans="1:17" ht="14.25">
      <c r="A297">
        <v>293</v>
      </c>
      <c r="B297" t="str">
        <f t="shared" si="51"/>
        <v>160601</v>
      </c>
      <c r="C297" t="str">
        <f t="shared" si="52"/>
        <v>gm. Domaszowice</v>
      </c>
      <c r="D297" t="str">
        <f t="shared" si="53"/>
        <v>namysłowski</v>
      </c>
      <c r="E297" t="str">
        <f t="shared" si="47"/>
        <v>opolskie</v>
      </c>
      <c r="F297">
        <v>5</v>
      </c>
      <c r="G297" t="str">
        <f>"Świetlica Wiejska, Gręboszów 29/5, Gręboszów"</f>
        <v>Świetlica Wiejska, Gręboszów 29/5, Gręboszów</v>
      </c>
      <c r="H297">
        <v>268</v>
      </c>
      <c r="I297">
        <v>320</v>
      </c>
      <c r="J297">
        <v>161</v>
      </c>
      <c r="K297">
        <v>0</v>
      </c>
      <c r="L297">
        <v>159</v>
      </c>
      <c r="M297">
        <v>161</v>
      </c>
      <c r="N297">
        <v>159</v>
      </c>
      <c r="O297">
        <v>2</v>
      </c>
      <c r="P297">
        <v>84</v>
      </c>
      <c r="Q297">
        <v>75</v>
      </c>
    </row>
    <row r="298" spans="1:17" ht="14.25">
      <c r="A298">
        <v>294</v>
      </c>
      <c r="B298" t="str">
        <f t="shared" si="51"/>
        <v>160601</v>
      </c>
      <c r="C298" t="str">
        <f t="shared" si="52"/>
        <v>gm. Domaszowice</v>
      </c>
      <c r="D298" t="str">
        <f t="shared" si="53"/>
        <v>namysłowski</v>
      </c>
      <c r="E298" t="str">
        <f t="shared" si="47"/>
        <v>opolskie</v>
      </c>
      <c r="F298">
        <v>6</v>
      </c>
      <c r="G298" t="str">
        <f>"Pomieszczenie po przedszkolu, Siemysłów 77/5, Siemysłów"</f>
        <v>Pomieszczenie po przedszkolu, Siemysłów 77/5, Siemysłów</v>
      </c>
      <c r="H298">
        <v>320</v>
      </c>
      <c r="I298">
        <v>320</v>
      </c>
      <c r="J298">
        <v>177</v>
      </c>
      <c r="K298">
        <v>0</v>
      </c>
      <c r="L298">
        <v>143</v>
      </c>
      <c r="M298">
        <v>177</v>
      </c>
      <c r="N298">
        <v>176</v>
      </c>
      <c r="O298">
        <v>1</v>
      </c>
      <c r="P298">
        <v>57</v>
      </c>
      <c r="Q298">
        <v>119</v>
      </c>
    </row>
    <row r="299" spans="1:17" ht="14.25">
      <c r="A299">
        <v>295</v>
      </c>
      <c r="B299" t="str">
        <f t="shared" si="51"/>
        <v>160601</v>
      </c>
      <c r="C299" t="str">
        <f t="shared" si="52"/>
        <v>gm. Domaszowice</v>
      </c>
      <c r="D299" t="str">
        <f t="shared" si="53"/>
        <v>namysłowski</v>
      </c>
      <c r="E299" t="str">
        <f t="shared" si="47"/>
        <v>opolskie</v>
      </c>
      <c r="F299">
        <v>7</v>
      </c>
      <c r="G299" t="str">
        <f>"Strażnica OSP, Wielołęka 23a, Wielołęka"</f>
        <v>Strażnica OSP, Wielołęka 23a, Wielołęka</v>
      </c>
      <c r="H299">
        <v>225</v>
      </c>
      <c r="I299">
        <v>240</v>
      </c>
      <c r="J299">
        <v>124</v>
      </c>
      <c r="K299">
        <v>0</v>
      </c>
      <c r="L299">
        <v>116</v>
      </c>
      <c r="M299">
        <v>124</v>
      </c>
      <c r="N299">
        <v>124</v>
      </c>
      <c r="O299">
        <v>0</v>
      </c>
      <c r="P299">
        <v>71</v>
      </c>
      <c r="Q299">
        <v>53</v>
      </c>
    </row>
    <row r="300" spans="1:17" ht="14.25">
      <c r="A300">
        <v>296</v>
      </c>
      <c r="B300" t="str">
        <f aca="true" t="shared" si="54" ref="B300:B324">"160602"</f>
        <v>160602</v>
      </c>
      <c r="C300" t="str">
        <f aca="true" t="shared" si="55" ref="C300:C324">"gm. Namysłów"</f>
        <v>gm. Namysłów</v>
      </c>
      <c r="D300" t="str">
        <f t="shared" si="53"/>
        <v>namysłowski</v>
      </c>
      <c r="E300" t="str">
        <f t="shared" si="47"/>
        <v>opolskie</v>
      </c>
      <c r="F300">
        <v>1</v>
      </c>
      <c r="G300" t="str">
        <f>"Biblioteka Publiczna, ul. Bohaterów Warszawy 5, Namysłów"</f>
        <v>Biblioteka Publiczna, ul. Bohaterów Warszawy 5, Namysłów</v>
      </c>
      <c r="H300">
        <v>746</v>
      </c>
      <c r="I300">
        <v>720</v>
      </c>
      <c r="J300">
        <v>365</v>
      </c>
      <c r="K300">
        <v>0</v>
      </c>
      <c r="L300">
        <v>355</v>
      </c>
      <c r="M300">
        <v>365</v>
      </c>
      <c r="N300">
        <v>361</v>
      </c>
      <c r="O300">
        <v>4</v>
      </c>
      <c r="P300">
        <v>130</v>
      </c>
      <c r="Q300">
        <v>231</v>
      </c>
    </row>
    <row r="301" spans="1:17" ht="14.25">
      <c r="A301">
        <v>297</v>
      </c>
      <c r="B301" t="str">
        <f t="shared" si="54"/>
        <v>160602</v>
      </c>
      <c r="C301" t="str">
        <f t="shared" si="55"/>
        <v>gm. Namysłów</v>
      </c>
      <c r="D301" t="str">
        <f t="shared" si="53"/>
        <v>namysłowski</v>
      </c>
      <c r="E301" t="str">
        <f t="shared" si="47"/>
        <v>opolskie</v>
      </c>
      <c r="F301">
        <v>2</v>
      </c>
      <c r="G301" t="str">
        <f>"Szkoła Podstawowa Nr 3, ul. Łączańska 1, Namysłów"</f>
        <v>Szkoła Podstawowa Nr 3, ul. Łączańska 1, Namysłów</v>
      </c>
      <c r="H301">
        <v>1159</v>
      </c>
      <c r="I301">
        <v>1120</v>
      </c>
      <c r="J301">
        <v>671</v>
      </c>
      <c r="K301">
        <v>0</v>
      </c>
      <c r="L301">
        <v>449</v>
      </c>
      <c r="M301">
        <v>671</v>
      </c>
      <c r="N301">
        <v>665</v>
      </c>
      <c r="O301">
        <v>6</v>
      </c>
      <c r="P301">
        <v>216</v>
      </c>
      <c r="Q301">
        <v>449</v>
      </c>
    </row>
    <row r="302" spans="1:17" ht="14.25">
      <c r="A302">
        <v>298</v>
      </c>
      <c r="B302" t="str">
        <f t="shared" si="54"/>
        <v>160602</v>
      </c>
      <c r="C302" t="str">
        <f t="shared" si="55"/>
        <v>gm. Namysłów</v>
      </c>
      <c r="D302" t="str">
        <f t="shared" si="53"/>
        <v>namysłowski</v>
      </c>
      <c r="E302" t="str">
        <f t="shared" si="47"/>
        <v>opolskie</v>
      </c>
      <c r="F302">
        <v>3</v>
      </c>
      <c r="G302" t="str">
        <f>"Liceum Ogólnokształcące, ul. A.Mickiewicza 12, Namysłów"</f>
        <v>Liceum Ogólnokształcące, ul. A.Mickiewicza 12, Namysłów</v>
      </c>
      <c r="H302">
        <v>1530</v>
      </c>
      <c r="I302">
        <v>1440</v>
      </c>
      <c r="J302">
        <v>865</v>
      </c>
      <c r="K302">
        <v>1</v>
      </c>
      <c r="L302">
        <v>575</v>
      </c>
      <c r="M302">
        <v>865</v>
      </c>
      <c r="N302">
        <v>857</v>
      </c>
      <c r="O302">
        <v>8</v>
      </c>
      <c r="P302">
        <v>355</v>
      </c>
      <c r="Q302">
        <v>502</v>
      </c>
    </row>
    <row r="303" spans="1:17" ht="14.25">
      <c r="A303">
        <v>299</v>
      </c>
      <c r="B303" t="str">
        <f t="shared" si="54"/>
        <v>160602</v>
      </c>
      <c r="C303" t="str">
        <f t="shared" si="55"/>
        <v>gm. Namysłów</v>
      </c>
      <c r="D303" t="str">
        <f t="shared" si="53"/>
        <v>namysłowski</v>
      </c>
      <c r="E303" t="str">
        <f t="shared" si="47"/>
        <v>opolskie</v>
      </c>
      <c r="F303">
        <v>4</v>
      </c>
      <c r="G303" t="str">
        <f>"Przedszkole Nr 5, ul. Słoneczna 1, Namysłów"</f>
        <v>Przedszkole Nr 5, ul. Słoneczna 1, Namysłów</v>
      </c>
      <c r="H303">
        <v>1840</v>
      </c>
      <c r="I303">
        <v>1759</v>
      </c>
      <c r="J303">
        <v>1072</v>
      </c>
      <c r="K303">
        <v>2</v>
      </c>
      <c r="L303">
        <v>687</v>
      </c>
      <c r="M303">
        <v>1070</v>
      </c>
      <c r="N303">
        <v>1056</v>
      </c>
      <c r="O303">
        <v>14</v>
      </c>
      <c r="P303">
        <v>423</v>
      </c>
      <c r="Q303">
        <v>633</v>
      </c>
    </row>
    <row r="304" spans="1:17" ht="14.25">
      <c r="A304">
        <v>300</v>
      </c>
      <c r="B304" t="str">
        <f t="shared" si="54"/>
        <v>160602</v>
      </c>
      <c r="C304" t="str">
        <f t="shared" si="55"/>
        <v>gm. Namysłów</v>
      </c>
      <c r="D304" t="str">
        <f t="shared" si="53"/>
        <v>namysłowski</v>
      </c>
      <c r="E304" t="str">
        <f t="shared" si="47"/>
        <v>opolskie</v>
      </c>
      <c r="F304">
        <v>5</v>
      </c>
      <c r="G304" t="str">
        <f>"Szkoła Podstawowa Nr 4, ul. W.S.Reymonta 56, Namysłów"</f>
        <v>Szkoła Podstawowa Nr 4, ul. W.S.Reymonta 56, Namysłów</v>
      </c>
      <c r="H304">
        <v>1574</v>
      </c>
      <c r="I304">
        <v>1440</v>
      </c>
      <c r="J304">
        <v>965</v>
      </c>
      <c r="K304">
        <v>0</v>
      </c>
      <c r="L304">
        <v>475</v>
      </c>
      <c r="M304">
        <v>965</v>
      </c>
      <c r="N304">
        <v>962</v>
      </c>
      <c r="O304">
        <v>3</v>
      </c>
      <c r="P304">
        <v>377</v>
      </c>
      <c r="Q304">
        <v>585</v>
      </c>
    </row>
    <row r="305" spans="1:17" ht="14.25">
      <c r="A305">
        <v>301</v>
      </c>
      <c r="B305" t="str">
        <f t="shared" si="54"/>
        <v>160602</v>
      </c>
      <c r="C305" t="str">
        <f t="shared" si="55"/>
        <v>gm. Namysłów</v>
      </c>
      <c r="D305" t="str">
        <f t="shared" si="53"/>
        <v>namysłowski</v>
      </c>
      <c r="E305" t="str">
        <f t="shared" si="47"/>
        <v>opolskie</v>
      </c>
      <c r="F305">
        <v>6</v>
      </c>
      <c r="G305" t="str">
        <f>"Przedszkole Nr 4, ul. W.S.Reymonta 5b, Namysłów"</f>
        <v>Przedszkole Nr 4, ul. W.S.Reymonta 5b, Namysłów</v>
      </c>
      <c r="H305">
        <v>568</v>
      </c>
      <c r="I305">
        <v>580</v>
      </c>
      <c r="J305">
        <v>322</v>
      </c>
      <c r="K305">
        <v>0</v>
      </c>
      <c r="L305">
        <v>258</v>
      </c>
      <c r="M305">
        <v>321</v>
      </c>
      <c r="N305">
        <v>319</v>
      </c>
      <c r="O305">
        <v>2</v>
      </c>
      <c r="P305">
        <v>135</v>
      </c>
      <c r="Q305">
        <v>184</v>
      </c>
    </row>
    <row r="306" spans="1:17" ht="14.25">
      <c r="A306">
        <v>302</v>
      </c>
      <c r="B306" t="str">
        <f t="shared" si="54"/>
        <v>160602</v>
      </c>
      <c r="C306" t="str">
        <f t="shared" si="55"/>
        <v>gm. Namysłów</v>
      </c>
      <c r="D306" t="str">
        <f t="shared" si="53"/>
        <v>namysłowski</v>
      </c>
      <c r="E306" t="str">
        <f t="shared" si="47"/>
        <v>opolskie</v>
      </c>
      <c r="F306">
        <v>7</v>
      </c>
      <c r="G306" t="str">
        <f>"Gimnazjum Nr 2, ul. W.S.Reymonta 5, Namysłów"</f>
        <v>Gimnazjum Nr 2, ul. W.S.Reymonta 5, Namysłów</v>
      </c>
      <c r="H306">
        <v>2019</v>
      </c>
      <c r="I306">
        <v>1920</v>
      </c>
      <c r="J306">
        <v>1159</v>
      </c>
      <c r="K306">
        <v>0</v>
      </c>
      <c r="L306">
        <v>761</v>
      </c>
      <c r="M306">
        <v>1159</v>
      </c>
      <c r="N306">
        <v>1150</v>
      </c>
      <c r="O306">
        <v>9</v>
      </c>
      <c r="P306">
        <v>442</v>
      </c>
      <c r="Q306">
        <v>708</v>
      </c>
    </row>
    <row r="307" spans="1:17" ht="14.25">
      <c r="A307">
        <v>303</v>
      </c>
      <c r="B307" t="str">
        <f t="shared" si="54"/>
        <v>160602</v>
      </c>
      <c r="C307" t="str">
        <f t="shared" si="55"/>
        <v>gm. Namysłów</v>
      </c>
      <c r="D307" t="str">
        <f t="shared" si="53"/>
        <v>namysłowski</v>
      </c>
      <c r="E307" t="str">
        <f t="shared" si="47"/>
        <v>opolskie</v>
      </c>
      <c r="F307">
        <v>8</v>
      </c>
      <c r="G307" t="str">
        <f>"Gimnazjum Nr 1, ul. 3 Maja 21, Namysłów"</f>
        <v>Gimnazjum Nr 1, ul. 3 Maja 21, Namysłów</v>
      </c>
      <c r="H307">
        <v>1301</v>
      </c>
      <c r="I307">
        <v>1280</v>
      </c>
      <c r="J307">
        <v>664</v>
      </c>
      <c r="K307">
        <v>4</v>
      </c>
      <c r="L307">
        <v>616</v>
      </c>
      <c r="M307">
        <v>664</v>
      </c>
      <c r="N307">
        <v>656</v>
      </c>
      <c r="O307">
        <v>8</v>
      </c>
      <c r="P307">
        <v>279</v>
      </c>
      <c r="Q307">
        <v>377</v>
      </c>
    </row>
    <row r="308" spans="1:17" ht="14.25">
      <c r="A308">
        <v>304</v>
      </c>
      <c r="B308" t="str">
        <f t="shared" si="54"/>
        <v>160602</v>
      </c>
      <c r="C308" t="str">
        <f t="shared" si="55"/>
        <v>gm. Namysłów</v>
      </c>
      <c r="D308" t="str">
        <f t="shared" si="53"/>
        <v>namysłowski</v>
      </c>
      <c r="E308" t="str">
        <f t="shared" si="47"/>
        <v>opolskie</v>
      </c>
      <c r="F308">
        <v>9</v>
      </c>
      <c r="G308" t="str">
        <f>"Przedszkole Integracyjne, ul. Parkowa 3, Namysłów"</f>
        <v>Przedszkole Integracyjne, ul. Parkowa 3, Namysłów</v>
      </c>
      <c r="H308">
        <v>468</v>
      </c>
      <c r="I308">
        <v>483</v>
      </c>
      <c r="J308">
        <v>283</v>
      </c>
      <c r="K308">
        <v>1</v>
      </c>
      <c r="L308">
        <v>200</v>
      </c>
      <c r="M308">
        <v>283</v>
      </c>
      <c r="N308">
        <v>282</v>
      </c>
      <c r="O308">
        <v>1</v>
      </c>
      <c r="P308">
        <v>107</v>
      </c>
      <c r="Q308">
        <v>175</v>
      </c>
    </row>
    <row r="309" spans="1:17" ht="14.25">
      <c r="A309">
        <v>305</v>
      </c>
      <c r="B309" t="str">
        <f t="shared" si="54"/>
        <v>160602</v>
      </c>
      <c r="C309" t="str">
        <f t="shared" si="55"/>
        <v>gm. Namysłów</v>
      </c>
      <c r="D309" t="str">
        <f t="shared" si="53"/>
        <v>namysłowski</v>
      </c>
      <c r="E309" t="str">
        <f t="shared" si="47"/>
        <v>opolskie</v>
      </c>
      <c r="F309">
        <v>10</v>
      </c>
      <c r="G309" t="str">
        <f>"Zespół Szkół Rolniczych, ul. K.Pułaskiego 3, Namysłów"</f>
        <v>Zespół Szkół Rolniczych, ul. K.Pułaskiego 3, Namysłów</v>
      </c>
      <c r="H309">
        <v>884</v>
      </c>
      <c r="I309">
        <v>800</v>
      </c>
      <c r="J309">
        <v>511</v>
      </c>
      <c r="K309">
        <v>0</v>
      </c>
      <c r="L309">
        <v>289</v>
      </c>
      <c r="M309">
        <v>511</v>
      </c>
      <c r="N309">
        <v>506</v>
      </c>
      <c r="O309">
        <v>5</v>
      </c>
      <c r="P309">
        <v>211</v>
      </c>
      <c r="Q309">
        <v>295</v>
      </c>
    </row>
    <row r="310" spans="1:17" ht="14.25">
      <c r="A310">
        <v>306</v>
      </c>
      <c r="B310" t="str">
        <f t="shared" si="54"/>
        <v>160602</v>
      </c>
      <c r="C310" t="str">
        <f t="shared" si="55"/>
        <v>gm. Namysłów</v>
      </c>
      <c r="D310" t="str">
        <f t="shared" si="53"/>
        <v>namysłowski</v>
      </c>
      <c r="E310" t="str">
        <f t="shared" si="47"/>
        <v>opolskie</v>
      </c>
      <c r="F310">
        <v>11</v>
      </c>
      <c r="G310" t="str">
        <f>"Hala Sportowa, Plac Powstańców Śląskich 1, Namysłów"</f>
        <v>Hala Sportowa, Plac Powstańców Śląskich 1, Namysłów</v>
      </c>
      <c r="H310">
        <v>898</v>
      </c>
      <c r="I310">
        <v>880</v>
      </c>
      <c r="J310">
        <v>459</v>
      </c>
      <c r="K310">
        <v>2</v>
      </c>
      <c r="L310">
        <v>421</v>
      </c>
      <c r="M310">
        <v>459</v>
      </c>
      <c r="N310">
        <v>457</v>
      </c>
      <c r="O310">
        <v>2</v>
      </c>
      <c r="P310">
        <v>214</v>
      </c>
      <c r="Q310">
        <v>243</v>
      </c>
    </row>
    <row r="311" spans="1:17" ht="14.25">
      <c r="A311">
        <v>307</v>
      </c>
      <c r="B311" t="str">
        <f t="shared" si="54"/>
        <v>160602</v>
      </c>
      <c r="C311" t="str">
        <f t="shared" si="55"/>
        <v>gm. Namysłów</v>
      </c>
      <c r="D311" t="str">
        <f t="shared" si="53"/>
        <v>namysłowski</v>
      </c>
      <c r="E311" t="str">
        <f t="shared" si="47"/>
        <v>opolskie</v>
      </c>
      <c r="F311">
        <v>12</v>
      </c>
      <c r="G311" t="str">
        <f>"Świetlica Wiejska, Smarchowice Małe 15b, Smarchowice Małe"</f>
        <v>Świetlica Wiejska, Smarchowice Małe 15b, Smarchowice Małe</v>
      </c>
      <c r="H311">
        <v>314</v>
      </c>
      <c r="I311">
        <v>321</v>
      </c>
      <c r="J311">
        <v>152</v>
      </c>
      <c r="K311">
        <v>0</v>
      </c>
      <c r="L311">
        <v>169</v>
      </c>
      <c r="M311">
        <v>152</v>
      </c>
      <c r="N311">
        <v>152</v>
      </c>
      <c r="O311">
        <v>0</v>
      </c>
      <c r="P311">
        <v>99</v>
      </c>
      <c r="Q311">
        <v>53</v>
      </c>
    </row>
    <row r="312" spans="1:17" ht="14.25">
      <c r="A312">
        <v>308</v>
      </c>
      <c r="B312" t="str">
        <f t="shared" si="54"/>
        <v>160602</v>
      </c>
      <c r="C312" t="str">
        <f t="shared" si="55"/>
        <v>gm. Namysłów</v>
      </c>
      <c r="D312" t="str">
        <f t="shared" si="53"/>
        <v>namysłowski</v>
      </c>
      <c r="E312" t="str">
        <f t="shared" si="47"/>
        <v>opolskie</v>
      </c>
      <c r="F312">
        <v>13</v>
      </c>
      <c r="G312" t="str">
        <f>"Świetlica Wiejska, ul. Szkolna 3, Kowalowice"</f>
        <v>Świetlica Wiejska, ul. Szkolna 3, Kowalowice</v>
      </c>
      <c r="H312">
        <v>650</v>
      </c>
      <c r="I312">
        <v>640</v>
      </c>
      <c r="J312">
        <v>324</v>
      </c>
      <c r="K312">
        <v>0</v>
      </c>
      <c r="L312">
        <v>316</v>
      </c>
      <c r="M312">
        <v>324</v>
      </c>
      <c r="N312">
        <v>319</v>
      </c>
      <c r="O312">
        <v>5</v>
      </c>
      <c r="P312">
        <v>176</v>
      </c>
      <c r="Q312">
        <v>143</v>
      </c>
    </row>
    <row r="313" spans="1:17" ht="14.25">
      <c r="A313">
        <v>309</v>
      </c>
      <c r="B313" t="str">
        <f t="shared" si="54"/>
        <v>160602</v>
      </c>
      <c r="C313" t="str">
        <f t="shared" si="55"/>
        <v>gm. Namysłów</v>
      </c>
      <c r="D313" t="str">
        <f t="shared" si="53"/>
        <v>namysłowski</v>
      </c>
      <c r="E313" t="str">
        <f t="shared" si="47"/>
        <v>opolskie</v>
      </c>
      <c r="F313">
        <v>14</v>
      </c>
      <c r="G313" t="str">
        <f>"Przedszkole, Bukowa Śląska 7 B, Bukowa Śląska"</f>
        <v>Przedszkole, Bukowa Śląska 7 B, Bukowa Śląska</v>
      </c>
      <c r="H313">
        <v>658</v>
      </c>
      <c r="I313">
        <v>640</v>
      </c>
      <c r="J313">
        <v>286</v>
      </c>
      <c r="K313">
        <v>0</v>
      </c>
      <c r="L313">
        <v>354</v>
      </c>
      <c r="M313">
        <v>286</v>
      </c>
      <c r="N313">
        <v>284</v>
      </c>
      <c r="O313">
        <v>2</v>
      </c>
      <c r="P313">
        <v>116</v>
      </c>
      <c r="Q313">
        <v>168</v>
      </c>
    </row>
    <row r="314" spans="1:17" ht="14.25">
      <c r="A314">
        <v>310</v>
      </c>
      <c r="B314" t="str">
        <f t="shared" si="54"/>
        <v>160602</v>
      </c>
      <c r="C314" t="str">
        <f t="shared" si="55"/>
        <v>gm. Namysłów</v>
      </c>
      <c r="D314" t="str">
        <f t="shared" si="53"/>
        <v>namysłowski</v>
      </c>
      <c r="E314" t="str">
        <f t="shared" si="47"/>
        <v>opolskie</v>
      </c>
      <c r="F314">
        <v>15</v>
      </c>
      <c r="G314" t="str">
        <f>"Szkoła Podstawowa, Kamienna 26, Kamienna"</f>
        <v>Szkoła Podstawowa, Kamienna 26, Kamienna</v>
      </c>
      <c r="H314">
        <v>931</v>
      </c>
      <c r="I314">
        <v>881</v>
      </c>
      <c r="J314">
        <v>441</v>
      </c>
      <c r="K314">
        <v>0</v>
      </c>
      <c r="L314">
        <v>440</v>
      </c>
      <c r="M314">
        <v>441</v>
      </c>
      <c r="N314">
        <v>439</v>
      </c>
      <c r="O314">
        <v>2</v>
      </c>
      <c r="P314">
        <v>217</v>
      </c>
      <c r="Q314">
        <v>222</v>
      </c>
    </row>
    <row r="315" spans="1:17" ht="14.25">
      <c r="A315">
        <v>311</v>
      </c>
      <c r="B315" t="str">
        <f t="shared" si="54"/>
        <v>160602</v>
      </c>
      <c r="C315" t="str">
        <f t="shared" si="55"/>
        <v>gm. Namysłów</v>
      </c>
      <c r="D315" t="str">
        <f t="shared" si="53"/>
        <v>namysłowski</v>
      </c>
      <c r="E315" t="str">
        <f t="shared" si="47"/>
        <v>opolskie</v>
      </c>
      <c r="F315">
        <v>16</v>
      </c>
      <c r="G315" t="str">
        <f>"Zespół Szkolno-Przedszkolny, ul. Główna 115, Głuszyna"</f>
        <v>Zespół Szkolno-Przedszkolny, ul. Główna 115, Głuszyna</v>
      </c>
      <c r="H315">
        <v>785</v>
      </c>
      <c r="I315">
        <v>721</v>
      </c>
      <c r="J315">
        <v>362</v>
      </c>
      <c r="K315">
        <v>0</v>
      </c>
      <c r="L315">
        <v>359</v>
      </c>
      <c r="M315">
        <v>362</v>
      </c>
      <c r="N315">
        <v>357</v>
      </c>
      <c r="O315">
        <v>5</v>
      </c>
      <c r="P315">
        <v>184</v>
      </c>
      <c r="Q315">
        <v>173</v>
      </c>
    </row>
    <row r="316" spans="1:17" ht="14.25">
      <c r="A316">
        <v>312</v>
      </c>
      <c r="B316" t="str">
        <f t="shared" si="54"/>
        <v>160602</v>
      </c>
      <c r="C316" t="str">
        <f t="shared" si="55"/>
        <v>gm. Namysłów</v>
      </c>
      <c r="D316" t="str">
        <f t="shared" si="53"/>
        <v>namysłowski</v>
      </c>
      <c r="E316" t="str">
        <f t="shared" si="47"/>
        <v>opolskie</v>
      </c>
      <c r="F316">
        <v>17</v>
      </c>
      <c r="G316" t="str">
        <f>"Zespół Placówek Oświatowych, ul. Główna 69, Smogorzów."</f>
        <v>Zespół Placówek Oświatowych, ul. Główna 69, Smogorzów.</v>
      </c>
      <c r="H316">
        <v>476</v>
      </c>
      <c r="I316">
        <v>473</v>
      </c>
      <c r="J316">
        <v>222</v>
      </c>
      <c r="K316">
        <v>0</v>
      </c>
      <c r="L316">
        <v>251</v>
      </c>
      <c r="M316">
        <v>222</v>
      </c>
      <c r="N316">
        <v>219</v>
      </c>
      <c r="O316">
        <v>3</v>
      </c>
      <c r="P316">
        <v>102</v>
      </c>
      <c r="Q316">
        <v>117</v>
      </c>
    </row>
    <row r="317" spans="1:17" ht="14.25">
      <c r="A317">
        <v>313</v>
      </c>
      <c r="B317" t="str">
        <f t="shared" si="54"/>
        <v>160602</v>
      </c>
      <c r="C317" t="str">
        <f t="shared" si="55"/>
        <v>gm. Namysłów</v>
      </c>
      <c r="D317" t="str">
        <f t="shared" si="53"/>
        <v>namysłowski</v>
      </c>
      <c r="E317" t="str">
        <f t="shared" si="47"/>
        <v>opolskie</v>
      </c>
      <c r="F317">
        <v>18</v>
      </c>
      <c r="G317" t="str">
        <f>"Zespół Szkolno-Przedszkolny, ul. Opolska 68, Jastrzębie"</f>
        <v>Zespół Szkolno-Przedszkolny, ul. Opolska 68, Jastrzębie</v>
      </c>
      <c r="H317">
        <v>781</v>
      </c>
      <c r="I317">
        <v>717</v>
      </c>
      <c r="J317">
        <v>346</v>
      </c>
      <c r="K317">
        <v>0</v>
      </c>
      <c r="L317">
        <v>371</v>
      </c>
      <c r="M317">
        <v>346</v>
      </c>
      <c r="N317">
        <v>345</v>
      </c>
      <c r="O317">
        <v>1</v>
      </c>
      <c r="P317">
        <v>160</v>
      </c>
      <c r="Q317">
        <v>185</v>
      </c>
    </row>
    <row r="318" spans="1:17" ht="14.25">
      <c r="A318">
        <v>314</v>
      </c>
      <c r="B318" t="str">
        <f t="shared" si="54"/>
        <v>160602</v>
      </c>
      <c r="C318" t="str">
        <f t="shared" si="55"/>
        <v>gm. Namysłów</v>
      </c>
      <c r="D318" t="str">
        <f t="shared" si="53"/>
        <v>namysłowski</v>
      </c>
      <c r="E318" t="str">
        <f t="shared" si="47"/>
        <v>opolskie</v>
      </c>
      <c r="F318">
        <v>19</v>
      </c>
      <c r="G318" t="str">
        <f>"Zespół Szkolno-Przedszkolny, ul. Brzegowa 58, Smarchowice Wielkie"</f>
        <v>Zespół Szkolno-Przedszkolny, ul. Brzegowa 58, Smarchowice Wielkie</v>
      </c>
      <c r="H318">
        <v>666</v>
      </c>
      <c r="I318">
        <v>640</v>
      </c>
      <c r="J318">
        <v>319</v>
      </c>
      <c r="K318">
        <v>0</v>
      </c>
      <c r="L318">
        <v>321</v>
      </c>
      <c r="M318">
        <v>319</v>
      </c>
      <c r="N318">
        <v>317</v>
      </c>
      <c r="O318">
        <v>2</v>
      </c>
      <c r="P318">
        <v>128</v>
      </c>
      <c r="Q318">
        <v>189</v>
      </c>
    </row>
    <row r="319" spans="1:17" ht="14.25">
      <c r="A319">
        <v>315</v>
      </c>
      <c r="B319" t="str">
        <f t="shared" si="54"/>
        <v>160602</v>
      </c>
      <c r="C319" t="str">
        <f t="shared" si="55"/>
        <v>gm. Namysłów</v>
      </c>
      <c r="D319" t="str">
        <f t="shared" si="53"/>
        <v>namysłowski</v>
      </c>
      <c r="E319" t="str">
        <f t="shared" si="47"/>
        <v>opolskie</v>
      </c>
      <c r="F319">
        <v>20</v>
      </c>
      <c r="G319" t="str">
        <f>"Świetlica Wiejska, ul. Żymierskiego 24, Smarchowice Śląskie"</f>
        <v>Świetlica Wiejska, ul. Żymierskiego 24, Smarchowice Śląskie</v>
      </c>
      <c r="H319">
        <v>915</v>
      </c>
      <c r="I319">
        <v>880</v>
      </c>
      <c r="J319">
        <v>428</v>
      </c>
      <c r="K319">
        <v>1</v>
      </c>
      <c r="L319">
        <v>452</v>
      </c>
      <c r="M319">
        <v>428</v>
      </c>
      <c r="N319">
        <v>424</v>
      </c>
      <c r="O319">
        <v>4</v>
      </c>
      <c r="P319">
        <v>236</v>
      </c>
      <c r="Q319">
        <v>188</v>
      </c>
    </row>
    <row r="320" spans="1:17" ht="14.25">
      <c r="A320">
        <v>316</v>
      </c>
      <c r="B320" t="str">
        <f t="shared" si="54"/>
        <v>160602</v>
      </c>
      <c r="C320" t="str">
        <f t="shared" si="55"/>
        <v>gm. Namysłów</v>
      </c>
      <c r="D320" t="str">
        <f t="shared" si="53"/>
        <v>namysłowski</v>
      </c>
      <c r="E320" t="str">
        <f t="shared" si="47"/>
        <v>opolskie</v>
      </c>
      <c r="F320">
        <v>21</v>
      </c>
      <c r="G320" t="str">
        <f>"Zespół Szkolno-Przedszkolny, Ligota Książęca 87A, Ligota Książęca"</f>
        <v>Zespół Szkolno-Przedszkolny, Ligota Książęca 87A, Ligota Książęca</v>
      </c>
      <c r="H320">
        <v>897</v>
      </c>
      <c r="I320">
        <v>800</v>
      </c>
      <c r="J320">
        <v>455</v>
      </c>
      <c r="K320">
        <v>0</v>
      </c>
      <c r="L320">
        <v>345</v>
      </c>
      <c r="M320">
        <v>455</v>
      </c>
      <c r="N320">
        <v>454</v>
      </c>
      <c r="O320">
        <v>1</v>
      </c>
      <c r="P320">
        <v>290</v>
      </c>
      <c r="Q320">
        <v>164</v>
      </c>
    </row>
    <row r="321" spans="1:17" ht="14.25">
      <c r="A321">
        <v>317</v>
      </c>
      <c r="B321" t="str">
        <f t="shared" si="54"/>
        <v>160602</v>
      </c>
      <c r="C321" t="str">
        <f t="shared" si="55"/>
        <v>gm. Namysłów</v>
      </c>
      <c r="D321" t="str">
        <f t="shared" si="53"/>
        <v>namysłowski</v>
      </c>
      <c r="E321" t="str">
        <f t="shared" si="47"/>
        <v>opolskie</v>
      </c>
      <c r="F321">
        <v>22</v>
      </c>
      <c r="G321" t="str">
        <f>"Świetlica Wiejska, Minkowskie 60 B, Minkowskie"</f>
        <v>Świetlica Wiejska, Minkowskie 60 B, Minkowskie</v>
      </c>
      <c r="H321">
        <v>521</v>
      </c>
      <c r="I321">
        <v>560</v>
      </c>
      <c r="J321">
        <v>212</v>
      </c>
      <c r="K321">
        <v>0</v>
      </c>
      <c r="L321">
        <v>348</v>
      </c>
      <c r="M321">
        <v>212</v>
      </c>
      <c r="N321">
        <v>209</v>
      </c>
      <c r="O321">
        <v>3</v>
      </c>
      <c r="P321">
        <v>92</v>
      </c>
      <c r="Q321">
        <v>117</v>
      </c>
    </row>
    <row r="322" spans="1:17" ht="14.25">
      <c r="A322">
        <v>318</v>
      </c>
      <c r="B322" t="str">
        <f t="shared" si="54"/>
        <v>160602</v>
      </c>
      <c r="C322" t="str">
        <f t="shared" si="55"/>
        <v>gm. Namysłów</v>
      </c>
      <c r="D322" t="str">
        <f t="shared" si="53"/>
        <v>namysłowski</v>
      </c>
      <c r="E322" t="str">
        <f t="shared" si="47"/>
        <v>opolskie</v>
      </c>
      <c r="F322">
        <v>23</v>
      </c>
      <c r="G322" t="str">
        <f>"Niepubliczny Zakład Opieki Zdrowotnej Namysłowskie Centrum Zdrowia S.A., ul. Oleśnicka 4, Namysłów"</f>
        <v>Niepubliczny Zakład Opieki Zdrowotnej Namysłowskie Centrum Zdrowia S.A., ul. Oleśnicka 4, Namysłów</v>
      </c>
      <c r="H322">
        <v>92</v>
      </c>
      <c r="I322">
        <v>148</v>
      </c>
      <c r="J322">
        <v>17</v>
      </c>
      <c r="K322">
        <v>0</v>
      </c>
      <c r="L322">
        <v>131</v>
      </c>
      <c r="M322">
        <v>17</v>
      </c>
      <c r="N322">
        <v>17</v>
      </c>
      <c r="O322">
        <v>0</v>
      </c>
      <c r="P322">
        <v>10</v>
      </c>
      <c r="Q322">
        <v>7</v>
      </c>
    </row>
    <row r="323" spans="1:17" ht="14.25">
      <c r="A323">
        <v>319</v>
      </c>
      <c r="B323" t="str">
        <f t="shared" si="54"/>
        <v>160602</v>
      </c>
      <c r="C323" t="str">
        <f t="shared" si="55"/>
        <v>gm. Namysłów</v>
      </c>
      <c r="D323" t="str">
        <f t="shared" si="53"/>
        <v>namysłowski</v>
      </c>
      <c r="E323" t="str">
        <f t="shared" si="47"/>
        <v>opolskie</v>
      </c>
      <c r="F323">
        <v>24</v>
      </c>
      <c r="G323" t="str">
        <f>"Ośrodek Leczenia Odwykowego, Woskowice Małe 15, Woskowice Małe"</f>
        <v>Ośrodek Leczenia Odwykowego, Woskowice Małe 15, Woskowice Małe</v>
      </c>
      <c r="H323">
        <v>106</v>
      </c>
      <c r="I323">
        <v>91</v>
      </c>
      <c r="J323">
        <v>61</v>
      </c>
      <c r="K323">
        <v>0</v>
      </c>
      <c r="L323">
        <v>30</v>
      </c>
      <c r="M323">
        <v>61</v>
      </c>
      <c r="N323">
        <v>61</v>
      </c>
      <c r="O323">
        <v>0</v>
      </c>
      <c r="P323">
        <v>23</v>
      </c>
      <c r="Q323">
        <v>38</v>
      </c>
    </row>
    <row r="324" spans="1:17" ht="14.25">
      <c r="A324">
        <v>320</v>
      </c>
      <c r="B324" t="str">
        <f t="shared" si="54"/>
        <v>160602</v>
      </c>
      <c r="C324" t="str">
        <f t="shared" si="55"/>
        <v>gm. Namysłów</v>
      </c>
      <c r="D324" t="str">
        <f t="shared" si="53"/>
        <v>namysłowski</v>
      </c>
      <c r="E324" t="str">
        <f t="shared" si="47"/>
        <v>opolskie</v>
      </c>
      <c r="F324">
        <v>25</v>
      </c>
      <c r="G324" t="str">
        <f>"Dom Pomocy Społecznej „Promyk”, Kamienna 22, Kamienna"</f>
        <v>Dom Pomocy Społecznej „Promyk”, Kamienna 22, Kamienna</v>
      </c>
      <c r="H324">
        <v>43</v>
      </c>
      <c r="I324">
        <v>50</v>
      </c>
      <c r="J324">
        <v>36</v>
      </c>
      <c r="K324">
        <v>0</v>
      </c>
      <c r="L324">
        <v>14</v>
      </c>
      <c r="M324">
        <v>36</v>
      </c>
      <c r="N324">
        <v>35</v>
      </c>
      <c r="O324">
        <v>1</v>
      </c>
      <c r="P324">
        <v>21</v>
      </c>
      <c r="Q324">
        <v>14</v>
      </c>
    </row>
    <row r="325" spans="1:17" ht="14.25">
      <c r="A325">
        <v>321</v>
      </c>
      <c r="B325" t="str">
        <f aca="true" t="shared" si="56" ref="B325:B330">"160603"</f>
        <v>160603</v>
      </c>
      <c r="C325" t="str">
        <f aca="true" t="shared" si="57" ref="C325:C330">"gm. Pokój"</f>
        <v>gm. Pokój</v>
      </c>
      <c r="D325" t="str">
        <f aca="true" t="shared" si="58" ref="D325:D342">"namysłowski"</f>
        <v>namysłowski</v>
      </c>
      <c r="E325" t="str">
        <f aca="true" t="shared" si="59" ref="E325:E388">"opolskie"</f>
        <v>opolskie</v>
      </c>
      <c r="F325">
        <v>1</v>
      </c>
      <c r="G325" t="str">
        <f>"Budynek byłej Szkoły Podstawowej, ul. Reymonta 3, Ładza"</f>
        <v>Budynek byłej Szkoły Podstawowej, ul. Reymonta 3, Ładza</v>
      </c>
      <c r="H325">
        <v>409</v>
      </c>
      <c r="I325">
        <v>400</v>
      </c>
      <c r="J325">
        <v>160</v>
      </c>
      <c r="K325">
        <v>0</v>
      </c>
      <c r="L325">
        <v>240</v>
      </c>
      <c r="M325">
        <v>160</v>
      </c>
      <c r="N325">
        <v>158</v>
      </c>
      <c r="O325">
        <v>2</v>
      </c>
      <c r="P325">
        <v>62</v>
      </c>
      <c r="Q325">
        <v>96</v>
      </c>
    </row>
    <row r="326" spans="1:17" ht="14.25">
      <c r="A326">
        <v>322</v>
      </c>
      <c r="B326" t="str">
        <f t="shared" si="56"/>
        <v>160603</v>
      </c>
      <c r="C326" t="str">
        <f t="shared" si="57"/>
        <v>gm. Pokój</v>
      </c>
      <c r="D326" t="str">
        <f t="shared" si="58"/>
        <v>namysłowski</v>
      </c>
      <c r="E326" t="str">
        <f t="shared" si="59"/>
        <v>opolskie</v>
      </c>
      <c r="F326">
        <v>2</v>
      </c>
      <c r="G326" t="str">
        <f>"Ochotnicza Straż Pożarna, ul. Wojska Polskiego 26, Pokój"</f>
        <v>Ochotnicza Straż Pożarna, ul. Wojska Polskiego 26, Pokój</v>
      </c>
      <c r="H326">
        <v>1211</v>
      </c>
      <c r="I326">
        <v>1118</v>
      </c>
      <c r="J326">
        <v>644</v>
      </c>
      <c r="K326">
        <v>0</v>
      </c>
      <c r="L326">
        <v>474</v>
      </c>
      <c r="M326">
        <v>644</v>
      </c>
      <c r="N326">
        <v>636</v>
      </c>
      <c r="O326">
        <v>8</v>
      </c>
      <c r="P326">
        <v>175</v>
      </c>
      <c r="Q326">
        <v>461</v>
      </c>
    </row>
    <row r="327" spans="1:17" ht="14.25">
      <c r="A327">
        <v>323</v>
      </c>
      <c r="B327" t="str">
        <f t="shared" si="56"/>
        <v>160603</v>
      </c>
      <c r="C327" t="str">
        <f t="shared" si="57"/>
        <v>gm. Pokój</v>
      </c>
      <c r="D327" t="str">
        <f t="shared" si="58"/>
        <v>namysłowski</v>
      </c>
      <c r="E327" t="str">
        <f t="shared" si="59"/>
        <v>opolskie</v>
      </c>
      <c r="F327">
        <v>3</v>
      </c>
      <c r="G327" t="str">
        <f>"Świetlica Wiejska, ul. Średnia 12, Krogulna"</f>
        <v>Świetlica Wiejska, ul. Średnia 12, Krogulna</v>
      </c>
      <c r="H327">
        <v>763</v>
      </c>
      <c r="I327">
        <v>722</v>
      </c>
      <c r="J327">
        <v>351</v>
      </c>
      <c r="K327">
        <v>0</v>
      </c>
      <c r="L327">
        <v>371</v>
      </c>
      <c r="M327">
        <v>351</v>
      </c>
      <c r="N327">
        <v>346</v>
      </c>
      <c r="O327">
        <v>5</v>
      </c>
      <c r="P327">
        <v>86</v>
      </c>
      <c r="Q327">
        <v>260</v>
      </c>
    </row>
    <row r="328" spans="1:17" ht="14.25">
      <c r="A328">
        <v>324</v>
      </c>
      <c r="B328" t="str">
        <f t="shared" si="56"/>
        <v>160603</v>
      </c>
      <c r="C328" t="str">
        <f t="shared" si="57"/>
        <v>gm. Pokój</v>
      </c>
      <c r="D328" t="str">
        <f t="shared" si="58"/>
        <v>namysłowski</v>
      </c>
      <c r="E328" t="str">
        <f t="shared" si="59"/>
        <v>opolskie</v>
      </c>
      <c r="F328">
        <v>4</v>
      </c>
      <c r="G328" t="str">
        <f>"Szkoła Podstawowa, Domaradz 3, Domaradz"</f>
        <v>Szkoła Podstawowa, Domaradz 3, Domaradz</v>
      </c>
      <c r="H328">
        <v>966</v>
      </c>
      <c r="I328">
        <v>880</v>
      </c>
      <c r="J328">
        <v>304</v>
      </c>
      <c r="K328">
        <v>1</v>
      </c>
      <c r="L328">
        <v>576</v>
      </c>
      <c r="M328">
        <v>304</v>
      </c>
      <c r="N328">
        <v>301</v>
      </c>
      <c r="O328">
        <v>3</v>
      </c>
      <c r="P328">
        <v>107</v>
      </c>
      <c r="Q328">
        <v>194</v>
      </c>
    </row>
    <row r="329" spans="1:17" ht="14.25">
      <c r="A329">
        <v>325</v>
      </c>
      <c r="B329" t="str">
        <f t="shared" si="56"/>
        <v>160603</v>
      </c>
      <c r="C329" t="str">
        <f t="shared" si="57"/>
        <v>gm. Pokój</v>
      </c>
      <c r="D329" t="str">
        <f t="shared" si="58"/>
        <v>namysłowski</v>
      </c>
      <c r="E329" t="str">
        <f t="shared" si="59"/>
        <v>opolskie</v>
      </c>
      <c r="F329">
        <v>5</v>
      </c>
      <c r="G329" t="str">
        <f>"Środowiskowy Hufiec Pracy, ul. Szkolna 5, Dąbrówka Dolna"</f>
        <v>Środowiskowy Hufiec Pracy, ul. Szkolna 5, Dąbrówka Dolna</v>
      </c>
      <c r="H329">
        <v>584</v>
      </c>
      <c r="I329">
        <v>582</v>
      </c>
      <c r="J329">
        <v>188</v>
      </c>
      <c r="K329">
        <v>0</v>
      </c>
      <c r="L329">
        <v>394</v>
      </c>
      <c r="M329">
        <v>188</v>
      </c>
      <c r="N329">
        <v>188</v>
      </c>
      <c r="O329">
        <v>0</v>
      </c>
      <c r="P329">
        <v>52</v>
      </c>
      <c r="Q329">
        <v>136</v>
      </c>
    </row>
    <row r="330" spans="1:17" ht="14.25">
      <c r="A330">
        <v>326</v>
      </c>
      <c r="B330" t="str">
        <f t="shared" si="56"/>
        <v>160603</v>
      </c>
      <c r="C330" t="str">
        <f t="shared" si="57"/>
        <v>gm. Pokój</v>
      </c>
      <c r="D330" t="str">
        <f t="shared" si="58"/>
        <v>namysłowski</v>
      </c>
      <c r="E330" t="str">
        <f t="shared" si="59"/>
        <v>opolskie</v>
      </c>
      <c r="F330">
        <v>6</v>
      </c>
      <c r="G330" t="str">
        <f>"Świetlica Wiejska, ul. Odrodzenia Polski 2, Zawiść"</f>
        <v>Świetlica Wiejska, ul. Odrodzenia Polski 2, Zawiść</v>
      </c>
      <c r="H330">
        <v>410</v>
      </c>
      <c r="I330">
        <v>400</v>
      </c>
      <c r="J330">
        <v>147</v>
      </c>
      <c r="K330">
        <v>0</v>
      </c>
      <c r="L330">
        <v>253</v>
      </c>
      <c r="M330">
        <v>147</v>
      </c>
      <c r="N330">
        <v>146</v>
      </c>
      <c r="O330">
        <v>1</v>
      </c>
      <c r="P330">
        <v>56</v>
      </c>
      <c r="Q330">
        <v>90</v>
      </c>
    </row>
    <row r="331" spans="1:17" ht="14.25">
      <c r="A331">
        <v>327</v>
      </c>
      <c r="B331" t="str">
        <f>"160604"</f>
        <v>160604</v>
      </c>
      <c r="C331" t="str">
        <f>"gm. Świerczów"</f>
        <v>gm. Świerczów</v>
      </c>
      <c r="D331" t="str">
        <f t="shared" si="58"/>
        <v>namysłowski</v>
      </c>
      <c r="E331" t="str">
        <f t="shared" si="59"/>
        <v>opolskie</v>
      </c>
      <c r="F331">
        <v>1</v>
      </c>
      <c r="G331" t="str">
        <f>"Szkoła Podstawowa, ul. Szkolna 6, Bąkowice"</f>
        <v>Szkoła Podstawowa, ul. Szkolna 6, Bąkowice</v>
      </c>
      <c r="H331">
        <v>704</v>
      </c>
      <c r="I331">
        <v>722</v>
      </c>
      <c r="J331">
        <v>336</v>
      </c>
      <c r="K331">
        <v>0</v>
      </c>
      <c r="L331">
        <v>386</v>
      </c>
      <c r="M331">
        <v>336</v>
      </c>
      <c r="N331">
        <v>331</v>
      </c>
      <c r="O331">
        <v>5</v>
      </c>
      <c r="P331">
        <v>163</v>
      </c>
      <c r="Q331">
        <v>168</v>
      </c>
    </row>
    <row r="332" spans="1:17" ht="14.25">
      <c r="A332">
        <v>328</v>
      </c>
      <c r="B332" t="str">
        <f>"160604"</f>
        <v>160604</v>
      </c>
      <c r="C332" t="str">
        <f>"gm. Świerczów"</f>
        <v>gm. Świerczów</v>
      </c>
      <c r="D332" t="str">
        <f t="shared" si="58"/>
        <v>namysłowski</v>
      </c>
      <c r="E332" t="str">
        <f t="shared" si="59"/>
        <v>opolskie</v>
      </c>
      <c r="F332">
        <v>2</v>
      </c>
      <c r="G332" t="str">
        <f>"Publiczne Gimnazjum, ul. Brzeska 28, Świerczów"</f>
        <v>Publiczne Gimnazjum, ul. Brzeska 28, Świerczów</v>
      </c>
      <c r="H332">
        <v>632</v>
      </c>
      <c r="I332">
        <v>640</v>
      </c>
      <c r="J332">
        <v>396</v>
      </c>
      <c r="K332">
        <v>0</v>
      </c>
      <c r="L332">
        <v>244</v>
      </c>
      <c r="M332">
        <v>396</v>
      </c>
      <c r="N332">
        <v>394</v>
      </c>
      <c r="O332">
        <v>2</v>
      </c>
      <c r="P332">
        <v>183</v>
      </c>
      <c r="Q332">
        <v>211</v>
      </c>
    </row>
    <row r="333" spans="1:17" ht="14.25">
      <c r="A333">
        <v>329</v>
      </c>
      <c r="B333" t="str">
        <f>"160604"</f>
        <v>160604</v>
      </c>
      <c r="C333" t="str">
        <f>"gm. Świerczów"</f>
        <v>gm. Świerczów</v>
      </c>
      <c r="D333" t="str">
        <f t="shared" si="58"/>
        <v>namysłowski</v>
      </c>
      <c r="E333" t="str">
        <f t="shared" si="59"/>
        <v>opolskie</v>
      </c>
      <c r="F333">
        <v>3</v>
      </c>
      <c r="G333" t="str">
        <f>"Szkoła Podstawowa, ul. Parkowa 2, Dąbrowa"</f>
        <v>Szkoła Podstawowa, ul. Parkowa 2, Dąbrowa</v>
      </c>
      <c r="H333">
        <v>542</v>
      </c>
      <c r="I333">
        <v>560</v>
      </c>
      <c r="J333">
        <v>294</v>
      </c>
      <c r="K333">
        <v>0</v>
      </c>
      <c r="L333">
        <v>266</v>
      </c>
      <c r="M333">
        <v>294</v>
      </c>
      <c r="N333">
        <v>293</v>
      </c>
      <c r="O333">
        <v>1</v>
      </c>
      <c r="P333">
        <v>147</v>
      </c>
      <c r="Q333">
        <v>146</v>
      </c>
    </row>
    <row r="334" spans="1:17" ht="14.25">
      <c r="A334">
        <v>330</v>
      </c>
      <c r="B334" t="str">
        <f>"160604"</f>
        <v>160604</v>
      </c>
      <c r="C334" t="str">
        <f>"gm. Świerczów"</f>
        <v>gm. Świerczów</v>
      </c>
      <c r="D334" t="str">
        <f t="shared" si="58"/>
        <v>namysłowski</v>
      </c>
      <c r="E334" t="str">
        <f t="shared" si="59"/>
        <v>opolskie</v>
      </c>
      <c r="F334">
        <v>4</v>
      </c>
      <c r="G334" t="str">
        <f>"Pałac, ul. Opolska 1, Starościn"</f>
        <v>Pałac, ul. Opolska 1, Starościn</v>
      </c>
      <c r="H334">
        <v>424</v>
      </c>
      <c r="I334">
        <v>477</v>
      </c>
      <c r="J334">
        <v>190</v>
      </c>
      <c r="K334">
        <v>0</v>
      </c>
      <c r="L334">
        <v>287</v>
      </c>
      <c r="M334">
        <v>190</v>
      </c>
      <c r="N334">
        <v>188</v>
      </c>
      <c r="O334">
        <v>2</v>
      </c>
      <c r="P334">
        <v>75</v>
      </c>
      <c r="Q334">
        <v>113</v>
      </c>
    </row>
    <row r="335" spans="1:17" ht="14.25">
      <c r="A335">
        <v>331</v>
      </c>
      <c r="B335" t="str">
        <f>"160604"</f>
        <v>160604</v>
      </c>
      <c r="C335" t="str">
        <f>"gm. Świerczów"</f>
        <v>gm. Świerczów</v>
      </c>
      <c r="D335" t="str">
        <f t="shared" si="58"/>
        <v>namysłowski</v>
      </c>
      <c r="E335" t="str">
        <f t="shared" si="59"/>
        <v>opolskie</v>
      </c>
      <c r="F335">
        <v>5</v>
      </c>
      <c r="G335" t="str">
        <f>"Była Szkoła Podstawowa, ul. Główna 7, Biestrzykowice"</f>
        <v>Była Szkoła Podstawowa, ul. Główna 7, Biestrzykowice</v>
      </c>
      <c r="H335">
        <v>634</v>
      </c>
      <c r="I335">
        <v>640</v>
      </c>
      <c r="J335">
        <v>312</v>
      </c>
      <c r="K335">
        <v>1</v>
      </c>
      <c r="L335">
        <v>328</v>
      </c>
      <c r="M335">
        <v>312</v>
      </c>
      <c r="N335">
        <v>309</v>
      </c>
      <c r="O335">
        <v>3</v>
      </c>
      <c r="P335">
        <v>112</v>
      </c>
      <c r="Q335">
        <v>197</v>
      </c>
    </row>
    <row r="336" spans="1:17" ht="14.25">
      <c r="A336">
        <v>332</v>
      </c>
      <c r="B336" t="str">
        <f aca="true" t="shared" si="60" ref="B336:B342">"160605"</f>
        <v>160605</v>
      </c>
      <c r="C336" t="str">
        <f aca="true" t="shared" si="61" ref="C336:C342">"gm. Wilków"</f>
        <v>gm. Wilków</v>
      </c>
      <c r="D336" t="str">
        <f t="shared" si="58"/>
        <v>namysłowski</v>
      </c>
      <c r="E336" t="str">
        <f t="shared" si="59"/>
        <v>opolskie</v>
      </c>
      <c r="F336">
        <v>1</v>
      </c>
      <c r="G336" t="str">
        <f>"Szkoła Podstawowa, ul. Lipowa 54, Bukowie"</f>
        <v>Szkoła Podstawowa, ul. Lipowa 54, Bukowie</v>
      </c>
      <c r="H336">
        <v>522</v>
      </c>
      <c r="I336">
        <v>520</v>
      </c>
      <c r="J336">
        <v>237</v>
      </c>
      <c r="K336">
        <v>0</v>
      </c>
      <c r="L336">
        <v>283</v>
      </c>
      <c r="M336">
        <v>237</v>
      </c>
      <c r="N336">
        <v>237</v>
      </c>
      <c r="O336">
        <v>0</v>
      </c>
      <c r="P336">
        <v>152</v>
      </c>
      <c r="Q336">
        <v>85</v>
      </c>
    </row>
    <row r="337" spans="1:17" ht="14.25">
      <c r="A337">
        <v>333</v>
      </c>
      <c r="B337" t="str">
        <f t="shared" si="60"/>
        <v>160605</v>
      </c>
      <c r="C337" t="str">
        <f t="shared" si="61"/>
        <v>gm. Wilków</v>
      </c>
      <c r="D337" t="str">
        <f t="shared" si="58"/>
        <v>namysłowski</v>
      </c>
      <c r="E337" t="str">
        <f t="shared" si="59"/>
        <v>opolskie</v>
      </c>
      <c r="F337">
        <v>2</v>
      </c>
      <c r="G337" t="str">
        <f>"Kaplica, Lubska 25a, Lubska"</f>
        <v>Kaplica, Lubska 25a, Lubska</v>
      </c>
      <c r="H337">
        <v>422</v>
      </c>
      <c r="I337">
        <v>420</v>
      </c>
      <c r="J337">
        <v>181</v>
      </c>
      <c r="K337">
        <v>0</v>
      </c>
      <c r="L337">
        <v>239</v>
      </c>
      <c r="M337">
        <v>181</v>
      </c>
      <c r="N337">
        <v>180</v>
      </c>
      <c r="O337">
        <v>1</v>
      </c>
      <c r="P337">
        <v>106</v>
      </c>
      <c r="Q337">
        <v>74</v>
      </c>
    </row>
    <row r="338" spans="1:17" ht="14.25">
      <c r="A338">
        <v>334</v>
      </c>
      <c r="B338" t="str">
        <f t="shared" si="60"/>
        <v>160605</v>
      </c>
      <c r="C338" t="str">
        <f t="shared" si="61"/>
        <v>gm. Wilków</v>
      </c>
      <c r="D338" t="str">
        <f t="shared" si="58"/>
        <v>namysłowski</v>
      </c>
      <c r="E338" t="str">
        <f t="shared" si="59"/>
        <v>opolskie</v>
      </c>
      <c r="F338">
        <v>3</v>
      </c>
      <c r="G338" t="str">
        <f>"Szkoła Podstawowa, Idzikowice 24a, Idzikowice"</f>
        <v>Szkoła Podstawowa, Idzikowice 24a, Idzikowice</v>
      </c>
      <c r="H338">
        <v>820</v>
      </c>
      <c r="I338">
        <v>800</v>
      </c>
      <c r="J338">
        <v>421</v>
      </c>
      <c r="K338">
        <v>0</v>
      </c>
      <c r="L338">
        <v>379</v>
      </c>
      <c r="M338">
        <v>421</v>
      </c>
      <c r="N338">
        <v>417</v>
      </c>
      <c r="O338">
        <v>4</v>
      </c>
      <c r="P338">
        <v>184</v>
      </c>
      <c r="Q338">
        <v>233</v>
      </c>
    </row>
    <row r="339" spans="1:17" ht="14.25">
      <c r="A339">
        <v>335</v>
      </c>
      <c r="B339" t="str">
        <f t="shared" si="60"/>
        <v>160605</v>
      </c>
      <c r="C339" t="str">
        <f t="shared" si="61"/>
        <v>gm. Wilków</v>
      </c>
      <c r="D339" t="str">
        <f t="shared" si="58"/>
        <v>namysłowski</v>
      </c>
      <c r="E339" t="str">
        <f t="shared" si="59"/>
        <v>opolskie</v>
      </c>
      <c r="F339">
        <v>4</v>
      </c>
      <c r="G339" t="str">
        <f>"Świetlica, Krzyków 28, Krzyków"</f>
        <v>Świetlica, Krzyków 28, Krzyków</v>
      </c>
      <c r="H339">
        <v>234</v>
      </c>
      <c r="I339">
        <v>240</v>
      </c>
      <c r="J339">
        <v>84</v>
      </c>
      <c r="K339">
        <v>0</v>
      </c>
      <c r="L339">
        <v>156</v>
      </c>
      <c r="M339">
        <v>84</v>
      </c>
      <c r="N339">
        <v>83</v>
      </c>
      <c r="O339">
        <v>1</v>
      </c>
      <c r="P339">
        <v>34</v>
      </c>
      <c r="Q339">
        <v>49</v>
      </c>
    </row>
    <row r="340" spans="1:17" ht="14.25">
      <c r="A340">
        <v>336</v>
      </c>
      <c r="B340" t="str">
        <f t="shared" si="60"/>
        <v>160605</v>
      </c>
      <c r="C340" t="str">
        <f t="shared" si="61"/>
        <v>gm. Wilków</v>
      </c>
      <c r="D340" t="str">
        <f t="shared" si="58"/>
        <v>namysłowski</v>
      </c>
      <c r="E340" t="str">
        <f t="shared" si="59"/>
        <v>opolskie</v>
      </c>
      <c r="F340">
        <v>5</v>
      </c>
      <c r="G340" t="str">
        <f>"Świetlica, ul.Główna 19, Pągów"</f>
        <v>Świetlica, ul.Główna 19, Pągów</v>
      </c>
      <c r="H340">
        <v>567</v>
      </c>
      <c r="I340">
        <v>560</v>
      </c>
      <c r="J340">
        <v>239</v>
      </c>
      <c r="K340">
        <v>0</v>
      </c>
      <c r="L340">
        <v>321</v>
      </c>
      <c r="M340">
        <v>239</v>
      </c>
      <c r="N340">
        <v>237</v>
      </c>
      <c r="O340">
        <v>2</v>
      </c>
      <c r="P340">
        <v>94</v>
      </c>
      <c r="Q340">
        <v>143</v>
      </c>
    </row>
    <row r="341" spans="1:17" ht="14.25">
      <c r="A341">
        <v>337</v>
      </c>
      <c r="B341" t="str">
        <f t="shared" si="60"/>
        <v>160605</v>
      </c>
      <c r="C341" t="str">
        <f t="shared" si="61"/>
        <v>gm. Wilków</v>
      </c>
      <c r="D341" t="str">
        <f t="shared" si="58"/>
        <v>namysłowski</v>
      </c>
      <c r="E341" t="str">
        <f t="shared" si="59"/>
        <v>opolskie</v>
      </c>
      <c r="F341">
        <v>6</v>
      </c>
      <c r="G341" t="str">
        <f>"Dom Kultury, ul. Wrocławska 16, Wilków"</f>
        <v>Dom Kultury, ul. Wrocławska 16, Wilków</v>
      </c>
      <c r="H341">
        <v>816</v>
      </c>
      <c r="I341">
        <v>800</v>
      </c>
      <c r="J341">
        <v>420</v>
      </c>
      <c r="K341">
        <v>1</v>
      </c>
      <c r="L341">
        <v>380</v>
      </c>
      <c r="M341">
        <v>420</v>
      </c>
      <c r="N341">
        <v>413</v>
      </c>
      <c r="O341">
        <v>7</v>
      </c>
      <c r="P341">
        <v>186</v>
      </c>
      <c r="Q341">
        <v>227</v>
      </c>
    </row>
    <row r="342" spans="1:17" ht="14.25">
      <c r="A342">
        <v>338</v>
      </c>
      <c r="B342" t="str">
        <f t="shared" si="60"/>
        <v>160605</v>
      </c>
      <c r="C342" t="str">
        <f t="shared" si="61"/>
        <v>gm. Wilków</v>
      </c>
      <c r="D342" t="str">
        <f t="shared" si="58"/>
        <v>namysłowski</v>
      </c>
      <c r="E342" t="str">
        <f t="shared" si="59"/>
        <v>opolskie</v>
      </c>
      <c r="F342">
        <v>7</v>
      </c>
      <c r="G342" t="str">
        <f>"Świetlica, Wojciechów 31a, Wojciechów"</f>
        <v>Świetlica, Wojciechów 31a, Wojciechów</v>
      </c>
      <c r="H342">
        <v>249</v>
      </c>
      <c r="I342">
        <v>240</v>
      </c>
      <c r="J342">
        <v>127</v>
      </c>
      <c r="K342">
        <v>0</v>
      </c>
      <c r="L342">
        <v>113</v>
      </c>
      <c r="M342">
        <v>127</v>
      </c>
      <c r="N342">
        <v>125</v>
      </c>
      <c r="O342">
        <v>2</v>
      </c>
      <c r="P342">
        <v>66</v>
      </c>
      <c r="Q342">
        <v>59</v>
      </c>
    </row>
    <row r="343" spans="1:17" ht="14.25">
      <c r="A343">
        <v>339</v>
      </c>
      <c r="B343" t="str">
        <f aca="true" t="shared" si="62" ref="B343:B367">"160701"</f>
        <v>160701</v>
      </c>
      <c r="C343" t="str">
        <f aca="true" t="shared" si="63" ref="C343:C367">"gm. Głuchołazy"</f>
        <v>gm. Głuchołazy</v>
      </c>
      <c r="D343" t="str">
        <f aca="true" t="shared" si="64" ref="D343:D374">"nyski"</f>
        <v>nyski</v>
      </c>
      <c r="E343" t="str">
        <f t="shared" si="59"/>
        <v>opolskie</v>
      </c>
      <c r="F343">
        <v>1</v>
      </c>
      <c r="G343" t="s">
        <v>23</v>
      </c>
      <c r="H343">
        <v>1813</v>
      </c>
      <c r="I343">
        <v>1680</v>
      </c>
      <c r="J343">
        <v>803</v>
      </c>
      <c r="K343">
        <v>0</v>
      </c>
      <c r="L343">
        <v>877</v>
      </c>
      <c r="M343">
        <v>803</v>
      </c>
      <c r="N343">
        <v>791</v>
      </c>
      <c r="O343">
        <v>12</v>
      </c>
      <c r="P343">
        <v>306</v>
      </c>
      <c r="Q343">
        <v>485</v>
      </c>
    </row>
    <row r="344" spans="1:17" ht="14.25">
      <c r="A344">
        <v>340</v>
      </c>
      <c r="B344" t="str">
        <f t="shared" si="62"/>
        <v>160701</v>
      </c>
      <c r="C344" t="str">
        <f t="shared" si="63"/>
        <v>gm. Głuchołazy</v>
      </c>
      <c r="D344" t="str">
        <f t="shared" si="64"/>
        <v>nyski</v>
      </c>
      <c r="E344" t="str">
        <f t="shared" si="59"/>
        <v>opolskie</v>
      </c>
      <c r="F344">
        <v>2</v>
      </c>
      <c r="G344" t="str">
        <f>"Polski Komitet Pomocy Społecznej, Rynek 31, Głuchołazy"</f>
        <v>Polski Komitet Pomocy Społecznej, Rynek 31, Głuchołazy</v>
      </c>
      <c r="H344">
        <v>1000</v>
      </c>
      <c r="I344">
        <v>960</v>
      </c>
      <c r="J344">
        <v>473</v>
      </c>
      <c r="K344">
        <v>0</v>
      </c>
      <c r="L344">
        <v>487</v>
      </c>
      <c r="M344">
        <v>473</v>
      </c>
      <c r="N344">
        <v>467</v>
      </c>
      <c r="O344">
        <v>6</v>
      </c>
      <c r="P344">
        <v>176</v>
      </c>
      <c r="Q344">
        <v>291</v>
      </c>
    </row>
    <row r="345" spans="1:17" ht="14.25">
      <c r="A345">
        <v>341</v>
      </c>
      <c r="B345" t="str">
        <f t="shared" si="62"/>
        <v>160701</v>
      </c>
      <c r="C345" t="str">
        <f t="shared" si="63"/>
        <v>gm. Głuchołazy</v>
      </c>
      <c r="D345" t="str">
        <f t="shared" si="64"/>
        <v>nyski</v>
      </c>
      <c r="E345" t="str">
        <f t="shared" si="59"/>
        <v>opolskie</v>
      </c>
      <c r="F345">
        <v>3</v>
      </c>
      <c r="G345" t="str">
        <f>"Publiczna Szkoła Podstawowa Nr 1, ul. Curie Skłodowskiej 9, Głuchołazy"</f>
        <v>Publiczna Szkoła Podstawowa Nr 1, ul. Curie Skłodowskiej 9, Głuchołazy</v>
      </c>
      <c r="H345">
        <v>948</v>
      </c>
      <c r="I345">
        <v>880</v>
      </c>
      <c r="J345">
        <v>412</v>
      </c>
      <c r="K345">
        <v>0</v>
      </c>
      <c r="L345">
        <v>468</v>
      </c>
      <c r="M345">
        <v>411</v>
      </c>
      <c r="N345">
        <v>403</v>
      </c>
      <c r="O345">
        <v>8</v>
      </c>
      <c r="P345">
        <v>162</v>
      </c>
      <c r="Q345">
        <v>241</v>
      </c>
    </row>
    <row r="346" spans="1:17" ht="14.25">
      <c r="A346">
        <v>342</v>
      </c>
      <c r="B346" t="str">
        <f t="shared" si="62"/>
        <v>160701</v>
      </c>
      <c r="C346" t="str">
        <f t="shared" si="63"/>
        <v>gm. Głuchołazy</v>
      </c>
      <c r="D346" t="str">
        <f t="shared" si="64"/>
        <v>nyski</v>
      </c>
      <c r="E346" t="str">
        <f t="shared" si="59"/>
        <v>opolskie</v>
      </c>
      <c r="F346">
        <v>4</v>
      </c>
      <c r="G346" t="str">
        <f>"Świetlica Wiejska, Konradów 51, Konradów"</f>
        <v>Świetlica Wiejska, Konradów 51, Konradów</v>
      </c>
      <c r="H346">
        <v>1043</v>
      </c>
      <c r="I346">
        <v>960</v>
      </c>
      <c r="J346">
        <v>490</v>
      </c>
      <c r="K346">
        <v>0</v>
      </c>
      <c r="L346">
        <v>470</v>
      </c>
      <c r="M346">
        <v>490</v>
      </c>
      <c r="N346">
        <v>480</v>
      </c>
      <c r="O346">
        <v>10</v>
      </c>
      <c r="P346">
        <v>165</v>
      </c>
      <c r="Q346">
        <v>315</v>
      </c>
    </row>
    <row r="347" spans="1:17" ht="14.25">
      <c r="A347">
        <v>343</v>
      </c>
      <c r="B347" t="str">
        <f t="shared" si="62"/>
        <v>160701</v>
      </c>
      <c r="C347" t="str">
        <f t="shared" si="63"/>
        <v>gm. Głuchołazy</v>
      </c>
      <c r="D347" t="str">
        <f t="shared" si="64"/>
        <v>nyski</v>
      </c>
      <c r="E347" t="str">
        <f t="shared" si="59"/>
        <v>opolskie</v>
      </c>
      <c r="F347">
        <v>5</v>
      </c>
      <c r="G347" t="str">
        <f>"Publiczne Gimnazjum Nr 1, ul. Kraszewskiego 30, Głuchołazy"</f>
        <v>Publiczne Gimnazjum Nr 1, ul. Kraszewskiego 30, Głuchołazy</v>
      </c>
      <c r="H347">
        <v>2061</v>
      </c>
      <c r="I347">
        <v>1920</v>
      </c>
      <c r="J347">
        <v>993</v>
      </c>
      <c r="K347">
        <v>1</v>
      </c>
      <c r="L347">
        <v>927</v>
      </c>
      <c r="M347">
        <v>993</v>
      </c>
      <c r="N347">
        <v>980</v>
      </c>
      <c r="O347">
        <v>13</v>
      </c>
      <c r="P347">
        <v>382</v>
      </c>
      <c r="Q347">
        <v>598</v>
      </c>
    </row>
    <row r="348" spans="1:17" ht="14.25">
      <c r="A348">
        <v>344</v>
      </c>
      <c r="B348" t="str">
        <f t="shared" si="62"/>
        <v>160701</v>
      </c>
      <c r="C348" t="str">
        <f t="shared" si="63"/>
        <v>gm. Głuchołazy</v>
      </c>
      <c r="D348" t="str">
        <f t="shared" si="64"/>
        <v>nyski</v>
      </c>
      <c r="E348" t="str">
        <f t="shared" si="59"/>
        <v>opolskie</v>
      </c>
      <c r="F348">
        <v>6</v>
      </c>
      <c r="G348" t="str">
        <f>"Publiczne Gimnazjum Nr 2, ul. Słowackiego 1, Głuchołazy"</f>
        <v>Publiczne Gimnazjum Nr 2, ul. Słowackiego 1, Głuchołazy</v>
      </c>
      <c r="H348">
        <v>1196</v>
      </c>
      <c r="I348">
        <v>1120</v>
      </c>
      <c r="J348">
        <v>563</v>
      </c>
      <c r="K348">
        <v>0</v>
      </c>
      <c r="L348">
        <v>557</v>
      </c>
      <c r="M348">
        <v>563</v>
      </c>
      <c r="N348">
        <v>561</v>
      </c>
      <c r="O348">
        <v>2</v>
      </c>
      <c r="P348">
        <v>239</v>
      </c>
      <c r="Q348">
        <v>322</v>
      </c>
    </row>
    <row r="349" spans="1:17" ht="14.25">
      <c r="A349">
        <v>345</v>
      </c>
      <c r="B349" t="str">
        <f t="shared" si="62"/>
        <v>160701</v>
      </c>
      <c r="C349" t="str">
        <f t="shared" si="63"/>
        <v>gm. Głuchołazy</v>
      </c>
      <c r="D349" t="str">
        <f t="shared" si="64"/>
        <v>nyski</v>
      </c>
      <c r="E349" t="str">
        <f t="shared" si="59"/>
        <v>opolskie</v>
      </c>
      <c r="F349">
        <v>7</v>
      </c>
      <c r="G349" t="str">
        <f>"Międzyzakładowa Spółdzielnia Mieszkaniowa, ul. Wieniawskiego 5, Głuchołazy"</f>
        <v>Międzyzakładowa Spółdzielnia Mieszkaniowa, ul. Wieniawskiego 5, Głuchołazy</v>
      </c>
      <c r="H349">
        <v>1116</v>
      </c>
      <c r="I349">
        <v>1040</v>
      </c>
      <c r="J349">
        <v>685</v>
      </c>
      <c r="K349">
        <v>0</v>
      </c>
      <c r="L349">
        <v>355</v>
      </c>
      <c r="M349">
        <v>685</v>
      </c>
      <c r="N349">
        <v>680</v>
      </c>
      <c r="O349">
        <v>5</v>
      </c>
      <c r="P349">
        <v>201</v>
      </c>
      <c r="Q349">
        <v>479</v>
      </c>
    </row>
    <row r="350" spans="1:17" ht="14.25">
      <c r="A350">
        <v>346</v>
      </c>
      <c r="B350" t="str">
        <f t="shared" si="62"/>
        <v>160701</v>
      </c>
      <c r="C350" t="str">
        <f t="shared" si="63"/>
        <v>gm. Głuchołazy</v>
      </c>
      <c r="D350" t="str">
        <f t="shared" si="64"/>
        <v>nyski</v>
      </c>
      <c r="E350" t="str">
        <f t="shared" si="59"/>
        <v>opolskie</v>
      </c>
      <c r="F350">
        <v>8</v>
      </c>
      <c r="G350" t="str">
        <f>"Publiczna Szkoła Podstawowa Nr 2, Aleja Jana Pawła II 9, Głuchołazy"</f>
        <v>Publiczna Szkoła Podstawowa Nr 2, Aleja Jana Pawła II 9, Głuchołazy</v>
      </c>
      <c r="H350">
        <v>953</v>
      </c>
      <c r="I350">
        <v>880</v>
      </c>
      <c r="J350">
        <v>482</v>
      </c>
      <c r="K350">
        <v>0</v>
      </c>
      <c r="L350">
        <v>398</v>
      </c>
      <c r="M350">
        <v>482</v>
      </c>
      <c r="N350">
        <v>478</v>
      </c>
      <c r="O350">
        <v>4</v>
      </c>
      <c r="P350">
        <v>202</v>
      </c>
      <c r="Q350">
        <v>276</v>
      </c>
    </row>
    <row r="351" spans="1:17" ht="14.25">
      <c r="A351">
        <v>347</v>
      </c>
      <c r="B351" t="str">
        <f t="shared" si="62"/>
        <v>160701</v>
      </c>
      <c r="C351" t="str">
        <f t="shared" si="63"/>
        <v>gm. Głuchołazy</v>
      </c>
      <c r="D351" t="str">
        <f t="shared" si="64"/>
        <v>nyski</v>
      </c>
      <c r="E351" t="str">
        <f t="shared" si="59"/>
        <v>opolskie</v>
      </c>
      <c r="F351">
        <v>9</v>
      </c>
      <c r="G351" t="str">
        <f>"Centrum Kultury, ul. Bohaterów Warszawy 7, Głuchołazy"</f>
        <v>Centrum Kultury, ul. Bohaterów Warszawy 7, Głuchołazy</v>
      </c>
      <c r="H351">
        <v>979</v>
      </c>
      <c r="I351">
        <v>880</v>
      </c>
      <c r="J351">
        <v>456</v>
      </c>
      <c r="K351">
        <v>0</v>
      </c>
      <c r="L351">
        <v>424</v>
      </c>
      <c r="M351">
        <v>456</v>
      </c>
      <c r="N351">
        <v>450</v>
      </c>
      <c r="O351">
        <v>6</v>
      </c>
      <c r="P351">
        <v>174</v>
      </c>
      <c r="Q351">
        <v>276</v>
      </c>
    </row>
    <row r="352" spans="1:17" ht="14.25">
      <c r="A352">
        <v>348</v>
      </c>
      <c r="B352" t="str">
        <f t="shared" si="62"/>
        <v>160701</v>
      </c>
      <c r="C352" t="str">
        <f t="shared" si="63"/>
        <v>gm. Głuchołazy</v>
      </c>
      <c r="D352" t="str">
        <f t="shared" si="64"/>
        <v>nyski</v>
      </c>
      <c r="E352" t="str">
        <f t="shared" si="59"/>
        <v>opolskie</v>
      </c>
      <c r="F352">
        <v>10</v>
      </c>
      <c r="G352" t="s">
        <v>24</v>
      </c>
      <c r="H352">
        <v>1985</v>
      </c>
      <c r="I352">
        <v>1840</v>
      </c>
      <c r="J352">
        <v>987</v>
      </c>
      <c r="K352">
        <v>0</v>
      </c>
      <c r="L352">
        <v>853</v>
      </c>
      <c r="M352">
        <v>987</v>
      </c>
      <c r="N352">
        <v>979</v>
      </c>
      <c r="O352">
        <v>8</v>
      </c>
      <c r="P352">
        <v>379</v>
      </c>
      <c r="Q352">
        <v>600</v>
      </c>
    </row>
    <row r="353" spans="1:17" ht="14.25">
      <c r="A353">
        <v>349</v>
      </c>
      <c r="B353" t="str">
        <f t="shared" si="62"/>
        <v>160701</v>
      </c>
      <c r="C353" t="str">
        <f t="shared" si="63"/>
        <v>gm. Głuchołazy</v>
      </c>
      <c r="D353" t="str">
        <f t="shared" si="64"/>
        <v>nyski</v>
      </c>
      <c r="E353" t="str">
        <f t="shared" si="59"/>
        <v>opolskie</v>
      </c>
      <c r="F353">
        <v>11</v>
      </c>
      <c r="G353" t="str">
        <f>"Publiczna Szkoła Podstawowa, Gierałcice 154, Gierałcice"</f>
        <v>Publiczna Szkoła Podstawowa, Gierałcice 154, Gierałcice</v>
      </c>
      <c r="H353">
        <v>698</v>
      </c>
      <c r="I353">
        <v>720</v>
      </c>
      <c r="J353">
        <v>321</v>
      </c>
      <c r="K353">
        <v>0</v>
      </c>
      <c r="L353">
        <v>399</v>
      </c>
      <c r="M353">
        <v>321</v>
      </c>
      <c r="N353">
        <v>318</v>
      </c>
      <c r="O353">
        <v>3</v>
      </c>
      <c r="P353">
        <v>129</v>
      </c>
      <c r="Q353">
        <v>189</v>
      </c>
    </row>
    <row r="354" spans="1:17" ht="14.25">
      <c r="A354">
        <v>350</v>
      </c>
      <c r="B354" t="str">
        <f t="shared" si="62"/>
        <v>160701</v>
      </c>
      <c r="C354" t="str">
        <f t="shared" si="63"/>
        <v>gm. Głuchołazy</v>
      </c>
      <c r="D354" t="str">
        <f t="shared" si="64"/>
        <v>nyski</v>
      </c>
      <c r="E354" t="str">
        <f t="shared" si="59"/>
        <v>opolskie</v>
      </c>
      <c r="F354">
        <v>12</v>
      </c>
      <c r="G354" t="str">
        <f>"Świetlica Wiejska, Biskupów 71, Biskupów"</f>
        <v>Świetlica Wiejska, Biskupów 71, Biskupów</v>
      </c>
      <c r="H354">
        <v>686</v>
      </c>
      <c r="I354">
        <v>720</v>
      </c>
      <c r="J354">
        <v>295</v>
      </c>
      <c r="K354">
        <v>0</v>
      </c>
      <c r="L354">
        <v>425</v>
      </c>
      <c r="M354">
        <v>295</v>
      </c>
      <c r="N354">
        <v>291</v>
      </c>
      <c r="O354">
        <v>4</v>
      </c>
      <c r="P354">
        <v>126</v>
      </c>
      <c r="Q354">
        <v>165</v>
      </c>
    </row>
    <row r="355" spans="1:17" ht="14.25">
      <c r="A355">
        <v>351</v>
      </c>
      <c r="B355" t="str">
        <f t="shared" si="62"/>
        <v>160701</v>
      </c>
      <c r="C355" t="str">
        <f t="shared" si="63"/>
        <v>gm. Głuchołazy</v>
      </c>
      <c r="D355" t="str">
        <f t="shared" si="64"/>
        <v>nyski</v>
      </c>
      <c r="E355" t="str">
        <f t="shared" si="59"/>
        <v>opolskie</v>
      </c>
      <c r="F355">
        <v>13</v>
      </c>
      <c r="G355" t="str">
        <f>"Publiczna Szkoła Podstawowa Stowarzyszenia Rozwoju Wsi, Burgrabice 140, Burgrabice"</f>
        <v>Publiczna Szkoła Podstawowa Stowarzyszenia Rozwoju Wsi, Burgrabice 140, Burgrabice</v>
      </c>
      <c r="H355">
        <v>569</v>
      </c>
      <c r="I355">
        <v>560</v>
      </c>
      <c r="J355">
        <v>251</v>
      </c>
      <c r="K355">
        <v>0</v>
      </c>
      <c r="L355">
        <v>309</v>
      </c>
      <c r="M355">
        <v>251</v>
      </c>
      <c r="N355">
        <v>249</v>
      </c>
      <c r="O355">
        <v>2</v>
      </c>
      <c r="P355">
        <v>82</v>
      </c>
      <c r="Q355">
        <v>167</v>
      </c>
    </row>
    <row r="356" spans="1:17" ht="14.25">
      <c r="A356">
        <v>352</v>
      </c>
      <c r="B356" t="str">
        <f t="shared" si="62"/>
        <v>160701</v>
      </c>
      <c r="C356" t="str">
        <f t="shared" si="63"/>
        <v>gm. Głuchołazy</v>
      </c>
      <c r="D356" t="str">
        <f t="shared" si="64"/>
        <v>nyski</v>
      </c>
      <c r="E356" t="str">
        <f t="shared" si="59"/>
        <v>opolskie</v>
      </c>
      <c r="F356">
        <v>14</v>
      </c>
      <c r="G356" t="str">
        <f>"Świetlica Wiejska, Sławniowice 49, Sławniowice"</f>
        <v>Świetlica Wiejska, Sławniowice 49, Sławniowice</v>
      </c>
      <c r="H356">
        <v>438</v>
      </c>
      <c r="I356">
        <v>480</v>
      </c>
      <c r="J356">
        <v>188</v>
      </c>
      <c r="K356">
        <v>0</v>
      </c>
      <c r="L356">
        <v>292</v>
      </c>
      <c r="M356">
        <v>188</v>
      </c>
      <c r="N356">
        <v>188</v>
      </c>
      <c r="O356">
        <v>0</v>
      </c>
      <c r="P356">
        <v>107</v>
      </c>
      <c r="Q356">
        <v>81</v>
      </c>
    </row>
    <row r="357" spans="1:17" ht="14.25">
      <c r="A357">
        <v>353</v>
      </c>
      <c r="B357" t="str">
        <f t="shared" si="62"/>
        <v>160701</v>
      </c>
      <c r="C357" t="str">
        <f t="shared" si="63"/>
        <v>gm. Głuchołazy</v>
      </c>
      <c r="D357" t="str">
        <f t="shared" si="64"/>
        <v>nyski</v>
      </c>
      <c r="E357" t="str">
        <f t="shared" si="59"/>
        <v>opolskie</v>
      </c>
      <c r="F357">
        <v>15</v>
      </c>
      <c r="G357" t="str">
        <f>"Publiczna Szkoła Podstawowa Stowarzyszenia Rozwoju Wsi Markowice Polski Świętów Sucha Kamienica, Polski Świętów 74a, Polski Świętów"</f>
        <v>Publiczna Szkoła Podstawowa Stowarzyszenia Rozwoju Wsi Markowice Polski Świętów Sucha Kamienica, Polski Świętów 74a, Polski Świętów</v>
      </c>
      <c r="H357">
        <v>671</v>
      </c>
      <c r="I357">
        <v>720</v>
      </c>
      <c r="J357">
        <v>322</v>
      </c>
      <c r="K357">
        <v>0</v>
      </c>
      <c r="L357">
        <v>398</v>
      </c>
      <c r="M357">
        <v>322</v>
      </c>
      <c r="N357">
        <v>318</v>
      </c>
      <c r="O357">
        <v>4</v>
      </c>
      <c r="P357">
        <v>167</v>
      </c>
      <c r="Q357">
        <v>151</v>
      </c>
    </row>
    <row r="358" spans="1:17" ht="14.25">
      <c r="A358">
        <v>354</v>
      </c>
      <c r="B358" t="str">
        <f t="shared" si="62"/>
        <v>160701</v>
      </c>
      <c r="C358" t="str">
        <f t="shared" si="63"/>
        <v>gm. Głuchołazy</v>
      </c>
      <c r="D358" t="str">
        <f t="shared" si="64"/>
        <v>nyski</v>
      </c>
      <c r="E358" t="str">
        <f t="shared" si="59"/>
        <v>opolskie</v>
      </c>
      <c r="F358">
        <v>16</v>
      </c>
      <c r="G358" t="str">
        <f>"Publiczna Szkoła Podstawowa Stowarzyszenia Rozwoju Wsi, Stary Las 56 a, Stary Las"</f>
        <v>Publiczna Szkoła Podstawowa Stowarzyszenia Rozwoju Wsi, Stary Las 56 a, Stary Las</v>
      </c>
      <c r="H358">
        <v>546</v>
      </c>
      <c r="I358">
        <v>560</v>
      </c>
      <c r="J358">
        <v>255</v>
      </c>
      <c r="K358">
        <v>0</v>
      </c>
      <c r="L358">
        <v>305</v>
      </c>
      <c r="M358">
        <v>255</v>
      </c>
      <c r="N358">
        <v>251</v>
      </c>
      <c r="O358">
        <v>4</v>
      </c>
      <c r="P358">
        <v>148</v>
      </c>
      <c r="Q358">
        <v>103</v>
      </c>
    </row>
    <row r="359" spans="1:17" ht="14.25">
      <c r="A359">
        <v>355</v>
      </c>
      <c r="B359" t="str">
        <f t="shared" si="62"/>
        <v>160701</v>
      </c>
      <c r="C359" t="str">
        <f t="shared" si="63"/>
        <v>gm. Głuchołazy</v>
      </c>
      <c r="D359" t="str">
        <f t="shared" si="64"/>
        <v>nyski</v>
      </c>
      <c r="E359" t="str">
        <f t="shared" si="59"/>
        <v>opolskie</v>
      </c>
      <c r="F359">
        <v>17</v>
      </c>
      <c r="G359" t="str">
        <f>"Publiczna Szkoła Podstawowa, Bodzanów 83, Bodzanów"</f>
        <v>Publiczna Szkoła Podstawowa, Bodzanów 83, Bodzanów</v>
      </c>
      <c r="H359">
        <v>1051</v>
      </c>
      <c r="I359">
        <v>960</v>
      </c>
      <c r="J359">
        <v>514</v>
      </c>
      <c r="K359">
        <v>0</v>
      </c>
      <c r="L359">
        <v>446</v>
      </c>
      <c r="M359">
        <v>514</v>
      </c>
      <c r="N359">
        <v>509</v>
      </c>
      <c r="O359">
        <v>5</v>
      </c>
      <c r="P359">
        <v>242</v>
      </c>
      <c r="Q359">
        <v>267</v>
      </c>
    </row>
    <row r="360" spans="1:17" ht="14.25">
      <c r="A360">
        <v>356</v>
      </c>
      <c r="B360" t="str">
        <f t="shared" si="62"/>
        <v>160701</v>
      </c>
      <c r="C360" t="str">
        <f t="shared" si="63"/>
        <v>gm. Głuchołazy</v>
      </c>
      <c r="D360" t="str">
        <f t="shared" si="64"/>
        <v>nyski</v>
      </c>
      <c r="E360" t="str">
        <f t="shared" si="59"/>
        <v>opolskie</v>
      </c>
      <c r="F360">
        <v>18</v>
      </c>
      <c r="G360" t="str">
        <f>"Publiczna Szkoła Podstawowa, Nowy Świętów 65, Nowy Świętów"</f>
        <v>Publiczna Szkoła Podstawowa, Nowy Świętów 65, Nowy Świętów</v>
      </c>
      <c r="H360">
        <v>1170</v>
      </c>
      <c r="I360">
        <v>1120</v>
      </c>
      <c r="J360">
        <v>545</v>
      </c>
      <c r="K360">
        <v>0</v>
      </c>
      <c r="L360">
        <v>575</v>
      </c>
      <c r="M360">
        <v>545</v>
      </c>
      <c r="N360">
        <v>540</v>
      </c>
      <c r="O360">
        <v>5</v>
      </c>
      <c r="P360">
        <v>305</v>
      </c>
      <c r="Q360">
        <v>235</v>
      </c>
    </row>
    <row r="361" spans="1:17" ht="14.25">
      <c r="A361">
        <v>357</v>
      </c>
      <c r="B361" t="str">
        <f t="shared" si="62"/>
        <v>160701</v>
      </c>
      <c r="C361" t="str">
        <f t="shared" si="63"/>
        <v>gm. Głuchołazy</v>
      </c>
      <c r="D361" t="str">
        <f t="shared" si="64"/>
        <v>nyski</v>
      </c>
      <c r="E361" t="str">
        <f t="shared" si="59"/>
        <v>opolskie</v>
      </c>
      <c r="F361">
        <v>19</v>
      </c>
      <c r="G361" t="str">
        <f>"Publiczna Szkoła Podstawowa, Charbielin 26, Charbielin"</f>
        <v>Publiczna Szkoła Podstawowa, Charbielin 26, Charbielin</v>
      </c>
      <c r="H361">
        <v>627</v>
      </c>
      <c r="I361">
        <v>640</v>
      </c>
      <c r="J361">
        <v>284</v>
      </c>
      <c r="K361">
        <v>0</v>
      </c>
      <c r="L361">
        <v>356</v>
      </c>
      <c r="M361">
        <v>284</v>
      </c>
      <c r="N361">
        <v>280</v>
      </c>
      <c r="O361">
        <v>4</v>
      </c>
      <c r="P361">
        <v>145</v>
      </c>
      <c r="Q361">
        <v>135</v>
      </c>
    </row>
    <row r="362" spans="1:17" ht="14.25">
      <c r="A362">
        <v>358</v>
      </c>
      <c r="B362" t="str">
        <f t="shared" si="62"/>
        <v>160701</v>
      </c>
      <c r="C362" t="str">
        <f t="shared" si="63"/>
        <v>gm. Głuchołazy</v>
      </c>
      <c r="D362" t="str">
        <f t="shared" si="64"/>
        <v>nyski</v>
      </c>
      <c r="E362" t="str">
        <f t="shared" si="59"/>
        <v>opolskie</v>
      </c>
      <c r="F362">
        <v>20</v>
      </c>
      <c r="G362" t="str">
        <f>"Świetlica Wiejska, Nowy Las 43, Nowy Las"</f>
        <v>Świetlica Wiejska, Nowy Las 43, Nowy Las</v>
      </c>
      <c r="H362">
        <v>392</v>
      </c>
      <c r="I362">
        <v>400</v>
      </c>
      <c r="J362">
        <v>222</v>
      </c>
      <c r="K362">
        <v>0</v>
      </c>
      <c r="L362">
        <v>178</v>
      </c>
      <c r="M362">
        <v>222</v>
      </c>
      <c r="N362">
        <v>221</v>
      </c>
      <c r="O362">
        <v>1</v>
      </c>
      <c r="P362">
        <v>141</v>
      </c>
      <c r="Q362">
        <v>80</v>
      </c>
    </row>
    <row r="363" spans="1:17" ht="14.25">
      <c r="A363">
        <v>359</v>
      </c>
      <c r="B363" t="str">
        <f t="shared" si="62"/>
        <v>160701</v>
      </c>
      <c r="C363" t="str">
        <f t="shared" si="63"/>
        <v>gm. Głuchołazy</v>
      </c>
      <c r="D363" t="str">
        <f t="shared" si="64"/>
        <v>nyski</v>
      </c>
      <c r="E363" t="str">
        <f t="shared" si="59"/>
        <v>opolskie</v>
      </c>
      <c r="F363">
        <v>21</v>
      </c>
      <c r="G363" t="str">
        <f>"Publiczna Szkoła Podstawowa Stowarzyszenia Rozwoju Wsi, Jarnołtówek 109, Jarnołtówek"</f>
        <v>Publiczna Szkoła Podstawowa Stowarzyszenia Rozwoju Wsi, Jarnołtówek 109, Jarnołtówek</v>
      </c>
      <c r="H363">
        <v>954</v>
      </c>
      <c r="I363">
        <v>800</v>
      </c>
      <c r="J363">
        <v>499</v>
      </c>
      <c r="K363">
        <v>0</v>
      </c>
      <c r="L363">
        <v>301</v>
      </c>
      <c r="M363">
        <v>499</v>
      </c>
      <c r="N363">
        <v>496</v>
      </c>
      <c r="O363">
        <v>3</v>
      </c>
      <c r="P363">
        <v>174</v>
      </c>
      <c r="Q363">
        <v>322</v>
      </c>
    </row>
    <row r="364" spans="1:17" ht="14.25">
      <c r="A364">
        <v>360</v>
      </c>
      <c r="B364" t="str">
        <f t="shared" si="62"/>
        <v>160701</v>
      </c>
      <c r="C364" t="str">
        <f t="shared" si="63"/>
        <v>gm. Głuchołazy</v>
      </c>
      <c r="D364" t="str">
        <f t="shared" si="64"/>
        <v>nyski</v>
      </c>
      <c r="E364" t="str">
        <f t="shared" si="59"/>
        <v>opolskie</v>
      </c>
      <c r="F364">
        <v>22</v>
      </c>
      <c r="G364" t="str">
        <f>"Szpital Nr 1 Samodzielny Publiczny Zakład Opieki Zdrowotnej ZOZ, ul.Skłodowskiej-Curie 16, Głuchołazy"</f>
        <v>Szpital Nr 1 Samodzielny Publiczny Zakład Opieki Zdrowotnej ZOZ, ul.Skłodowskiej-Curie 16, Głuchołazy</v>
      </c>
      <c r="H364">
        <v>117</v>
      </c>
      <c r="I364">
        <v>100</v>
      </c>
      <c r="J364">
        <v>43</v>
      </c>
      <c r="K364">
        <v>0</v>
      </c>
      <c r="L364">
        <v>57</v>
      </c>
      <c r="M364">
        <v>43</v>
      </c>
      <c r="N364">
        <v>43</v>
      </c>
      <c r="O364">
        <v>0</v>
      </c>
      <c r="P364">
        <v>23</v>
      </c>
      <c r="Q364">
        <v>20</v>
      </c>
    </row>
    <row r="365" spans="1:17" ht="14.25">
      <c r="A365">
        <v>361</v>
      </c>
      <c r="B365" t="str">
        <f t="shared" si="62"/>
        <v>160701</v>
      </c>
      <c r="C365" t="str">
        <f t="shared" si="63"/>
        <v>gm. Głuchołazy</v>
      </c>
      <c r="D365" t="str">
        <f t="shared" si="64"/>
        <v>nyski</v>
      </c>
      <c r="E365" t="str">
        <f t="shared" si="59"/>
        <v>opolskie</v>
      </c>
      <c r="F365">
        <v>23</v>
      </c>
      <c r="G365" t="str">
        <f>"Szpital Nr 2 Samodzielny Publiczny Zakład Opieki Zdrowotnej ZOZ, ul. Lompy 2, Głuchołazy"</f>
        <v>Szpital Nr 2 Samodzielny Publiczny Zakład Opieki Zdrowotnej ZOZ, ul. Lompy 2, Głuchołazy</v>
      </c>
      <c r="H365">
        <v>199</v>
      </c>
      <c r="I365">
        <v>320</v>
      </c>
      <c r="J365">
        <v>88</v>
      </c>
      <c r="K365">
        <v>0</v>
      </c>
      <c r="L365">
        <v>232</v>
      </c>
      <c r="M365">
        <v>88</v>
      </c>
      <c r="N365">
        <v>88</v>
      </c>
      <c r="O365">
        <v>0</v>
      </c>
      <c r="P365">
        <v>33</v>
      </c>
      <c r="Q365">
        <v>55</v>
      </c>
    </row>
    <row r="366" spans="1:17" ht="14.25">
      <c r="A366">
        <v>362</v>
      </c>
      <c r="B366" t="str">
        <f t="shared" si="62"/>
        <v>160701</v>
      </c>
      <c r="C366" t="str">
        <f t="shared" si="63"/>
        <v>gm. Głuchołazy</v>
      </c>
      <c r="D366" t="str">
        <f t="shared" si="64"/>
        <v>nyski</v>
      </c>
      <c r="E366" t="str">
        <f t="shared" si="59"/>
        <v>opolskie</v>
      </c>
      <c r="F366">
        <v>24</v>
      </c>
      <c r="G366" t="str">
        <f>"Zakład Opiekuńczo-Leczniczy Samodzielnego Publicznego Zakładu Opieki Zdrowotnej, ul.Parkowa 9, Głuchołazy"</f>
        <v>Zakład Opiekuńczo-Leczniczy Samodzielnego Publicznego Zakładu Opieki Zdrowotnej, ul.Parkowa 9, Głuchołazy</v>
      </c>
      <c r="H366">
        <v>67</v>
      </c>
      <c r="I366">
        <v>100</v>
      </c>
      <c r="J366">
        <v>41</v>
      </c>
      <c r="K366">
        <v>0</v>
      </c>
      <c r="L366">
        <v>59</v>
      </c>
      <c r="M366">
        <v>41</v>
      </c>
      <c r="N366">
        <v>39</v>
      </c>
      <c r="O366">
        <v>2</v>
      </c>
      <c r="P366">
        <v>24</v>
      </c>
      <c r="Q366">
        <v>15</v>
      </c>
    </row>
    <row r="367" spans="1:17" ht="14.25">
      <c r="A367">
        <v>363</v>
      </c>
      <c r="B367" t="str">
        <f t="shared" si="62"/>
        <v>160701</v>
      </c>
      <c r="C367" t="str">
        <f t="shared" si="63"/>
        <v>gm. Głuchołazy</v>
      </c>
      <c r="D367" t="str">
        <f t="shared" si="64"/>
        <v>nyski</v>
      </c>
      <c r="E367" t="str">
        <f t="shared" si="59"/>
        <v>opolskie</v>
      </c>
      <c r="F367">
        <v>25</v>
      </c>
      <c r="G367" t="str">
        <f>"Samodzielny Publiczny Zakład Opieki Zdrowotnej Szpital Specjalistyczny Ministerstwa Spraw Wewnętrznych i Administracji, ul. Karłowicza 40, Głuchołazy"</f>
        <v>Samodzielny Publiczny Zakład Opieki Zdrowotnej Szpital Specjalistyczny Ministerstwa Spraw Wewnętrznych i Administracji, ul. Karłowicza 40, Głuchołazy</v>
      </c>
      <c r="H367">
        <v>280</v>
      </c>
      <c r="I367">
        <v>320</v>
      </c>
      <c r="J367">
        <v>164</v>
      </c>
      <c r="K367">
        <v>0</v>
      </c>
      <c r="L367">
        <v>156</v>
      </c>
      <c r="M367">
        <v>164</v>
      </c>
      <c r="N367">
        <v>163</v>
      </c>
      <c r="O367">
        <v>1</v>
      </c>
      <c r="P367">
        <v>82</v>
      </c>
      <c r="Q367">
        <v>81</v>
      </c>
    </row>
    <row r="368" spans="1:17" ht="14.25">
      <c r="A368">
        <v>364</v>
      </c>
      <c r="B368" t="str">
        <f>"160702"</f>
        <v>160702</v>
      </c>
      <c r="C368" t="str">
        <f>"gm. Kamiennik"</f>
        <v>gm. Kamiennik</v>
      </c>
      <c r="D368" t="str">
        <f t="shared" si="64"/>
        <v>nyski</v>
      </c>
      <c r="E368" t="str">
        <f t="shared" si="59"/>
        <v>opolskie</v>
      </c>
      <c r="F368">
        <v>1</v>
      </c>
      <c r="G368" t="str">
        <f>"Zespół Szkół Ogólnokształcących w Kamienniku, ul. 1 Maja 28, Kamiennik"</f>
        <v>Zespół Szkół Ogólnokształcących w Kamienniku, ul. 1 Maja 28, Kamiennik</v>
      </c>
      <c r="H368">
        <v>769</v>
      </c>
      <c r="I368">
        <v>721</v>
      </c>
      <c r="J368">
        <v>324</v>
      </c>
      <c r="K368">
        <v>0</v>
      </c>
      <c r="L368">
        <v>397</v>
      </c>
      <c r="M368">
        <v>324</v>
      </c>
      <c r="N368">
        <v>321</v>
      </c>
      <c r="O368">
        <v>3</v>
      </c>
      <c r="P368">
        <v>165</v>
      </c>
      <c r="Q368">
        <v>156</v>
      </c>
    </row>
    <row r="369" spans="1:17" ht="14.25">
      <c r="A369">
        <v>365</v>
      </c>
      <c r="B369" t="str">
        <f>"160702"</f>
        <v>160702</v>
      </c>
      <c r="C369" t="str">
        <f>"gm. Kamiennik"</f>
        <v>gm. Kamiennik</v>
      </c>
      <c r="D369" t="str">
        <f t="shared" si="64"/>
        <v>nyski</v>
      </c>
      <c r="E369" t="str">
        <f t="shared" si="59"/>
        <v>opolskie</v>
      </c>
      <c r="F369">
        <v>2</v>
      </c>
      <c r="G369" t="str">
        <f>"Zespół Szkolno-Przedszkolny w Lipnikach,Lipniki 109, Lipniki"</f>
        <v>Zespół Szkolno-Przedszkolny w Lipnikach,Lipniki 109, Lipniki</v>
      </c>
      <c r="H369">
        <v>530</v>
      </c>
      <c r="I369">
        <v>560</v>
      </c>
      <c r="J369">
        <v>227</v>
      </c>
      <c r="K369">
        <v>0</v>
      </c>
      <c r="L369">
        <v>333</v>
      </c>
      <c r="M369">
        <v>227</v>
      </c>
      <c r="N369">
        <v>226</v>
      </c>
      <c r="O369">
        <v>1</v>
      </c>
      <c r="P369">
        <v>170</v>
      </c>
      <c r="Q369">
        <v>56</v>
      </c>
    </row>
    <row r="370" spans="1:17" ht="14.25">
      <c r="A370">
        <v>366</v>
      </c>
      <c r="B370" t="str">
        <f>"160702"</f>
        <v>160702</v>
      </c>
      <c r="C370" t="str">
        <f>"gm. Kamiennik"</f>
        <v>gm. Kamiennik</v>
      </c>
      <c r="D370" t="str">
        <f t="shared" si="64"/>
        <v>nyski</v>
      </c>
      <c r="E370" t="str">
        <f t="shared" si="59"/>
        <v>opolskie</v>
      </c>
      <c r="F370">
        <v>3</v>
      </c>
      <c r="G370" t="str">
        <f>"Przedszkole w Karłowicach Wielkich, Karłowice Wielkie 52, Karłowice Wielkie"</f>
        <v>Przedszkole w Karłowicach Wielkich, Karłowice Wielkie 52, Karłowice Wielkie</v>
      </c>
      <c r="H370">
        <v>866</v>
      </c>
      <c r="I370">
        <v>800</v>
      </c>
      <c r="J370">
        <v>369</v>
      </c>
      <c r="K370">
        <v>1</v>
      </c>
      <c r="L370">
        <v>431</v>
      </c>
      <c r="M370">
        <v>369</v>
      </c>
      <c r="N370">
        <v>366</v>
      </c>
      <c r="O370">
        <v>3</v>
      </c>
      <c r="P370">
        <v>225</v>
      </c>
      <c r="Q370">
        <v>141</v>
      </c>
    </row>
    <row r="371" spans="1:17" ht="14.25">
      <c r="A371">
        <v>367</v>
      </c>
      <c r="B371" t="str">
        <f>"160702"</f>
        <v>160702</v>
      </c>
      <c r="C371" t="str">
        <f>"gm. Kamiennik"</f>
        <v>gm. Kamiennik</v>
      </c>
      <c r="D371" t="str">
        <f t="shared" si="64"/>
        <v>nyski</v>
      </c>
      <c r="E371" t="str">
        <f t="shared" si="59"/>
        <v>opolskie</v>
      </c>
      <c r="F371">
        <v>4</v>
      </c>
      <c r="G371" t="str">
        <f>"Przedszkole w Szklarach, Szklary 50, Szklary"</f>
        <v>Przedszkole w Szklarach, Szklary 50, Szklary</v>
      </c>
      <c r="H371">
        <v>449</v>
      </c>
      <c r="I371">
        <v>478</v>
      </c>
      <c r="J371">
        <v>249</v>
      </c>
      <c r="K371">
        <v>0</v>
      </c>
      <c r="L371">
        <v>229</v>
      </c>
      <c r="M371">
        <v>249</v>
      </c>
      <c r="N371">
        <v>246</v>
      </c>
      <c r="O371">
        <v>3</v>
      </c>
      <c r="P371">
        <v>126</v>
      </c>
      <c r="Q371">
        <v>120</v>
      </c>
    </row>
    <row r="372" spans="1:17" ht="14.25">
      <c r="A372">
        <v>368</v>
      </c>
      <c r="B372" t="str">
        <f>"160702"</f>
        <v>160702</v>
      </c>
      <c r="C372" t="str">
        <f>"gm. Kamiennik"</f>
        <v>gm. Kamiennik</v>
      </c>
      <c r="D372" t="str">
        <f t="shared" si="64"/>
        <v>nyski</v>
      </c>
      <c r="E372" t="str">
        <f t="shared" si="59"/>
        <v>opolskie</v>
      </c>
      <c r="F372">
        <v>5</v>
      </c>
      <c r="G372" t="str">
        <f>"Zespół Szkolno-Przedszkolny w Goworowicach, Goworowice 52, Goworowice"</f>
        <v>Zespół Szkolno-Przedszkolny w Goworowicach, Goworowice 52, Goworowice</v>
      </c>
      <c r="H372">
        <v>338</v>
      </c>
      <c r="I372">
        <v>400</v>
      </c>
      <c r="J372">
        <v>156</v>
      </c>
      <c r="K372">
        <v>0</v>
      </c>
      <c r="L372">
        <v>244</v>
      </c>
      <c r="M372">
        <v>156</v>
      </c>
      <c r="N372">
        <v>150</v>
      </c>
      <c r="O372">
        <v>6</v>
      </c>
      <c r="P372">
        <v>80</v>
      </c>
      <c r="Q372">
        <v>70</v>
      </c>
    </row>
    <row r="373" spans="1:17" ht="14.25">
      <c r="A373">
        <v>369</v>
      </c>
      <c r="B373" t="str">
        <f aca="true" t="shared" si="65" ref="B373:B383">"160703"</f>
        <v>160703</v>
      </c>
      <c r="C373" t="str">
        <f aca="true" t="shared" si="66" ref="C373:C383">"gm. Korfantów"</f>
        <v>gm. Korfantów</v>
      </c>
      <c r="D373" t="str">
        <f t="shared" si="64"/>
        <v>nyski</v>
      </c>
      <c r="E373" t="str">
        <f t="shared" si="59"/>
        <v>opolskie</v>
      </c>
      <c r="F373">
        <v>1</v>
      </c>
      <c r="G373" t="str">
        <f>"Miejsko Gminny Ośrodek Kultury Sportu i Rekreacji, Rynek 10, Korfantów"</f>
        <v>Miejsko Gminny Ośrodek Kultury Sportu i Rekreacji, Rynek 10, Korfantów</v>
      </c>
      <c r="H373">
        <v>1531</v>
      </c>
      <c r="I373">
        <v>1440</v>
      </c>
      <c r="J373">
        <v>724</v>
      </c>
      <c r="K373">
        <v>1</v>
      </c>
      <c r="L373">
        <v>716</v>
      </c>
      <c r="M373">
        <v>724</v>
      </c>
      <c r="N373">
        <v>715</v>
      </c>
      <c r="O373">
        <v>9</v>
      </c>
      <c r="P373">
        <v>343</v>
      </c>
      <c r="Q373">
        <v>372</v>
      </c>
    </row>
    <row r="374" spans="1:17" ht="14.25">
      <c r="A374">
        <v>370</v>
      </c>
      <c r="B374" t="str">
        <f t="shared" si="65"/>
        <v>160703</v>
      </c>
      <c r="C374" t="str">
        <f t="shared" si="66"/>
        <v>gm. Korfantów</v>
      </c>
      <c r="D374" t="str">
        <f t="shared" si="64"/>
        <v>nyski</v>
      </c>
      <c r="E374" t="str">
        <f t="shared" si="59"/>
        <v>opolskie</v>
      </c>
      <c r="F374">
        <v>2</v>
      </c>
      <c r="G374" t="str">
        <f>"Zespół Szkół, ul. 3 Maja 12, Korfantów"</f>
        <v>Zespół Szkół, ul. 3 Maja 12, Korfantów</v>
      </c>
      <c r="H374">
        <v>1521</v>
      </c>
      <c r="I374">
        <v>1440</v>
      </c>
      <c r="J374">
        <v>482</v>
      </c>
      <c r="K374">
        <v>0</v>
      </c>
      <c r="L374">
        <v>958</v>
      </c>
      <c r="M374">
        <v>482</v>
      </c>
      <c r="N374">
        <v>474</v>
      </c>
      <c r="O374">
        <v>8</v>
      </c>
      <c r="P374">
        <v>249</v>
      </c>
      <c r="Q374">
        <v>225</v>
      </c>
    </row>
    <row r="375" spans="1:17" ht="14.25">
      <c r="A375">
        <v>371</v>
      </c>
      <c r="B375" t="str">
        <f t="shared" si="65"/>
        <v>160703</v>
      </c>
      <c r="C375" t="str">
        <f t="shared" si="66"/>
        <v>gm. Korfantów</v>
      </c>
      <c r="D375" t="str">
        <f aca="true" t="shared" si="67" ref="D375:D406">"nyski"</f>
        <v>nyski</v>
      </c>
      <c r="E375" t="str">
        <f t="shared" si="59"/>
        <v>opolskie</v>
      </c>
      <c r="F375">
        <v>3</v>
      </c>
      <c r="G375" t="str">
        <f>"Świetlica wiejska, Kuźnica Ligocka 29, Kuźnica Ligocka"</f>
        <v>Świetlica wiejska, Kuźnica Ligocka 29, Kuźnica Ligocka</v>
      </c>
      <c r="H375">
        <v>514</v>
      </c>
      <c r="I375">
        <v>590</v>
      </c>
      <c r="J375">
        <v>141</v>
      </c>
      <c r="K375">
        <v>0</v>
      </c>
      <c r="L375">
        <v>449</v>
      </c>
      <c r="M375">
        <v>141</v>
      </c>
      <c r="N375">
        <v>138</v>
      </c>
      <c r="O375">
        <v>3</v>
      </c>
      <c r="P375">
        <v>60</v>
      </c>
      <c r="Q375">
        <v>78</v>
      </c>
    </row>
    <row r="376" spans="1:17" ht="14.25">
      <c r="A376">
        <v>372</v>
      </c>
      <c r="B376" t="str">
        <f t="shared" si="65"/>
        <v>160703</v>
      </c>
      <c r="C376" t="str">
        <f t="shared" si="66"/>
        <v>gm. Korfantów</v>
      </c>
      <c r="D376" t="str">
        <f t="shared" si="67"/>
        <v>nyski</v>
      </c>
      <c r="E376" t="str">
        <f t="shared" si="59"/>
        <v>opolskie</v>
      </c>
      <c r="F376">
        <v>4</v>
      </c>
      <c r="G376" t="str">
        <f>"Zespół Szkół, Przechód 239, Przechód"</f>
        <v>Zespół Szkół, Przechód 239, Przechód</v>
      </c>
      <c r="H376">
        <v>656</v>
      </c>
      <c r="I376">
        <v>639</v>
      </c>
      <c r="J376">
        <v>206</v>
      </c>
      <c r="K376">
        <v>0</v>
      </c>
      <c r="L376">
        <v>433</v>
      </c>
      <c r="M376">
        <v>206</v>
      </c>
      <c r="N376">
        <v>201</v>
      </c>
      <c r="O376">
        <v>5</v>
      </c>
      <c r="P376">
        <v>70</v>
      </c>
      <c r="Q376">
        <v>131</v>
      </c>
    </row>
    <row r="377" spans="1:17" ht="14.25">
      <c r="A377">
        <v>373</v>
      </c>
      <c r="B377" t="str">
        <f t="shared" si="65"/>
        <v>160703</v>
      </c>
      <c r="C377" t="str">
        <f t="shared" si="66"/>
        <v>gm. Korfantów</v>
      </c>
      <c r="D377" t="str">
        <f t="shared" si="67"/>
        <v>nyski</v>
      </c>
      <c r="E377" t="str">
        <f t="shared" si="59"/>
        <v>opolskie</v>
      </c>
      <c r="F377">
        <v>5</v>
      </c>
      <c r="G377" t="str">
        <f>"Świetlica wiesjka, Rzymkowice 152 a, Rzymkowice"</f>
        <v>Świetlica wiesjka, Rzymkowice 152 a, Rzymkowice</v>
      </c>
      <c r="H377">
        <v>466</v>
      </c>
      <c r="I377">
        <v>479</v>
      </c>
      <c r="J377">
        <v>148</v>
      </c>
      <c r="K377">
        <v>0</v>
      </c>
      <c r="L377">
        <v>331</v>
      </c>
      <c r="M377">
        <v>148</v>
      </c>
      <c r="N377">
        <v>147</v>
      </c>
      <c r="O377">
        <v>1</v>
      </c>
      <c r="P377">
        <v>47</v>
      </c>
      <c r="Q377">
        <v>100</v>
      </c>
    </row>
    <row r="378" spans="1:17" ht="14.25">
      <c r="A378">
        <v>374</v>
      </c>
      <c r="B378" t="str">
        <f t="shared" si="65"/>
        <v>160703</v>
      </c>
      <c r="C378" t="str">
        <f t="shared" si="66"/>
        <v>gm. Korfantów</v>
      </c>
      <c r="D378" t="str">
        <f t="shared" si="67"/>
        <v>nyski</v>
      </c>
      <c r="E378" t="str">
        <f t="shared" si="59"/>
        <v>opolskie</v>
      </c>
      <c r="F378">
        <v>6</v>
      </c>
      <c r="G378" t="str">
        <f>"Świetlica wiejska, Przydroże Małe 55, Przydroże Małe"</f>
        <v>Świetlica wiejska, Przydroże Małe 55, Przydroże Małe</v>
      </c>
      <c r="H378">
        <v>465</v>
      </c>
      <c r="I378">
        <v>479</v>
      </c>
      <c r="J378">
        <v>172</v>
      </c>
      <c r="K378">
        <v>0</v>
      </c>
      <c r="L378">
        <v>307</v>
      </c>
      <c r="M378">
        <v>172</v>
      </c>
      <c r="N378">
        <v>170</v>
      </c>
      <c r="O378">
        <v>2</v>
      </c>
      <c r="P378">
        <v>86</v>
      </c>
      <c r="Q378">
        <v>84</v>
      </c>
    </row>
    <row r="379" spans="1:17" ht="14.25">
      <c r="A379">
        <v>375</v>
      </c>
      <c r="B379" t="str">
        <f t="shared" si="65"/>
        <v>160703</v>
      </c>
      <c r="C379" t="str">
        <f t="shared" si="66"/>
        <v>gm. Korfantów</v>
      </c>
      <c r="D379" t="str">
        <f t="shared" si="67"/>
        <v>nyski</v>
      </c>
      <c r="E379" t="str">
        <f t="shared" si="59"/>
        <v>opolskie</v>
      </c>
      <c r="F379">
        <v>7</v>
      </c>
      <c r="G379" t="str">
        <f>"Zespół Szkół, ul. Klasztorna 4, Ścinawa Mała"</f>
        <v>Zespół Szkół, ul. Klasztorna 4, Ścinawa Mała</v>
      </c>
      <c r="H379">
        <v>641</v>
      </c>
      <c r="I379">
        <v>640</v>
      </c>
      <c r="J379">
        <v>260</v>
      </c>
      <c r="K379">
        <v>0</v>
      </c>
      <c r="L379">
        <v>380</v>
      </c>
      <c r="M379">
        <v>260</v>
      </c>
      <c r="N379">
        <v>259</v>
      </c>
      <c r="O379">
        <v>1</v>
      </c>
      <c r="P379">
        <v>110</v>
      </c>
      <c r="Q379">
        <v>149</v>
      </c>
    </row>
    <row r="380" spans="1:17" ht="14.25">
      <c r="A380">
        <v>376</v>
      </c>
      <c r="B380" t="str">
        <f t="shared" si="65"/>
        <v>160703</v>
      </c>
      <c r="C380" t="str">
        <f t="shared" si="66"/>
        <v>gm. Korfantów</v>
      </c>
      <c r="D380" t="str">
        <f t="shared" si="67"/>
        <v>nyski</v>
      </c>
      <c r="E380" t="str">
        <f t="shared" si="59"/>
        <v>opolskie</v>
      </c>
      <c r="F380">
        <v>8</v>
      </c>
      <c r="G380" t="str">
        <f>"Wiejski Dom Kultury, ul. Nyska 21, Ścinawa Nyska"</f>
        <v>Wiejski Dom Kultury, ul. Nyska 21, Ścinawa Nyska</v>
      </c>
      <c r="H380">
        <v>1108</v>
      </c>
      <c r="I380">
        <v>1041</v>
      </c>
      <c r="J380">
        <v>375</v>
      </c>
      <c r="K380">
        <v>0</v>
      </c>
      <c r="L380">
        <v>666</v>
      </c>
      <c r="M380">
        <v>375</v>
      </c>
      <c r="N380">
        <v>369</v>
      </c>
      <c r="O380">
        <v>6</v>
      </c>
      <c r="P380">
        <v>229</v>
      </c>
      <c r="Q380">
        <v>140</v>
      </c>
    </row>
    <row r="381" spans="1:17" ht="14.25">
      <c r="A381">
        <v>377</v>
      </c>
      <c r="B381" t="str">
        <f t="shared" si="65"/>
        <v>160703</v>
      </c>
      <c r="C381" t="str">
        <f t="shared" si="66"/>
        <v>gm. Korfantów</v>
      </c>
      <c r="D381" t="str">
        <f t="shared" si="67"/>
        <v>nyski</v>
      </c>
      <c r="E381" t="str">
        <f t="shared" si="59"/>
        <v>opolskie</v>
      </c>
      <c r="F381">
        <v>9</v>
      </c>
      <c r="G381" t="str">
        <f>"Szkoła Podstawowa, ul. Szkolna 1, Włodary"</f>
        <v>Szkoła Podstawowa, ul. Szkolna 1, Włodary</v>
      </c>
      <c r="H381">
        <v>768</v>
      </c>
      <c r="I381">
        <v>722</v>
      </c>
      <c r="J381">
        <v>341</v>
      </c>
      <c r="K381">
        <v>0</v>
      </c>
      <c r="L381">
        <v>381</v>
      </c>
      <c r="M381">
        <v>341</v>
      </c>
      <c r="N381">
        <v>338</v>
      </c>
      <c r="O381">
        <v>3</v>
      </c>
      <c r="P381">
        <v>221</v>
      </c>
      <c r="Q381">
        <v>117</v>
      </c>
    </row>
    <row r="382" spans="1:17" ht="14.25">
      <c r="A382">
        <v>378</v>
      </c>
      <c r="B382" t="str">
        <f t="shared" si="65"/>
        <v>160703</v>
      </c>
      <c r="C382" t="str">
        <f t="shared" si="66"/>
        <v>gm. Korfantów</v>
      </c>
      <c r="D382" t="str">
        <f t="shared" si="67"/>
        <v>nyski</v>
      </c>
      <c r="E382" t="str">
        <f t="shared" si="59"/>
        <v>opolskie</v>
      </c>
      <c r="F382">
        <v>10</v>
      </c>
      <c r="G382" t="s">
        <v>25</v>
      </c>
      <c r="H382">
        <v>55</v>
      </c>
      <c r="I382">
        <v>97</v>
      </c>
      <c r="J382">
        <v>32</v>
      </c>
      <c r="K382">
        <v>0</v>
      </c>
      <c r="L382">
        <v>65</v>
      </c>
      <c r="M382">
        <v>32</v>
      </c>
      <c r="N382">
        <v>31</v>
      </c>
      <c r="O382">
        <v>1</v>
      </c>
      <c r="P382">
        <v>16</v>
      </c>
      <c r="Q382">
        <v>15</v>
      </c>
    </row>
    <row r="383" spans="1:17" ht="14.25">
      <c r="A383">
        <v>379</v>
      </c>
      <c r="B383" t="str">
        <f t="shared" si="65"/>
        <v>160703</v>
      </c>
      <c r="C383" t="str">
        <f t="shared" si="66"/>
        <v>gm. Korfantów</v>
      </c>
      <c r="D383" t="str">
        <f t="shared" si="67"/>
        <v>nyski</v>
      </c>
      <c r="E383" t="str">
        <f t="shared" si="59"/>
        <v>opolskie</v>
      </c>
      <c r="F383">
        <v>11</v>
      </c>
      <c r="G383" t="str">
        <f>"Opolskie Centrum Rehabilitacji, ul. Wyzwolenia 11, Korfantów"</f>
        <v>Opolskie Centrum Rehabilitacji, ul. Wyzwolenia 11, Korfantów</v>
      </c>
      <c r="H383">
        <v>173</v>
      </c>
      <c r="I383">
        <v>196</v>
      </c>
      <c r="J383">
        <v>136</v>
      </c>
      <c r="K383">
        <v>0</v>
      </c>
      <c r="L383">
        <v>60</v>
      </c>
      <c r="M383">
        <v>136</v>
      </c>
      <c r="N383">
        <v>134</v>
      </c>
      <c r="O383">
        <v>2</v>
      </c>
      <c r="P383">
        <v>57</v>
      </c>
      <c r="Q383">
        <v>77</v>
      </c>
    </row>
    <row r="384" spans="1:17" ht="14.25">
      <c r="A384">
        <v>380</v>
      </c>
      <c r="B384" t="str">
        <f aca="true" t="shared" si="68" ref="B384:B390">"160704"</f>
        <v>160704</v>
      </c>
      <c r="C384" t="str">
        <f aca="true" t="shared" si="69" ref="C384:C390">"gm. Łambinowice"</f>
        <v>gm. Łambinowice</v>
      </c>
      <c r="D384" t="str">
        <f t="shared" si="67"/>
        <v>nyski</v>
      </c>
      <c r="E384" t="str">
        <f t="shared" si="59"/>
        <v>opolskie</v>
      </c>
      <c r="F384">
        <v>1</v>
      </c>
      <c r="G384" t="str">
        <f>"Sala konferencyjna w Urzędzie Gminy, ul. Gen. Zawadzkiego 29, Łambinowice"</f>
        <v>Sala konferencyjna w Urzędzie Gminy, ul. Gen. Zawadzkiego 29, Łambinowice</v>
      </c>
      <c r="H384">
        <v>2038</v>
      </c>
      <c r="I384">
        <v>1915</v>
      </c>
      <c r="J384">
        <v>1040</v>
      </c>
      <c r="K384">
        <v>1</v>
      </c>
      <c r="L384">
        <v>875</v>
      </c>
      <c r="M384">
        <v>1040</v>
      </c>
      <c r="N384">
        <v>1015</v>
      </c>
      <c r="O384">
        <v>25</v>
      </c>
      <c r="P384">
        <v>426</v>
      </c>
      <c r="Q384">
        <v>589</v>
      </c>
    </row>
    <row r="385" spans="1:17" ht="14.25">
      <c r="A385">
        <v>381</v>
      </c>
      <c r="B385" t="str">
        <f t="shared" si="68"/>
        <v>160704</v>
      </c>
      <c r="C385" t="str">
        <f t="shared" si="69"/>
        <v>gm. Łambinowice</v>
      </c>
      <c r="D385" t="str">
        <f t="shared" si="67"/>
        <v>nyski</v>
      </c>
      <c r="E385" t="str">
        <f t="shared" si="59"/>
        <v>opolskie</v>
      </c>
      <c r="F385">
        <v>2</v>
      </c>
      <c r="G385" t="str">
        <f>"Szkoła Podstawowa, Jasienica Dolna 156, Jasienica Dolna"</f>
        <v>Szkoła Podstawowa, Jasienica Dolna 156, Jasienica Dolna</v>
      </c>
      <c r="H385">
        <v>812</v>
      </c>
      <c r="I385">
        <v>800</v>
      </c>
      <c r="J385">
        <v>328</v>
      </c>
      <c r="K385">
        <v>0</v>
      </c>
      <c r="L385">
        <v>472</v>
      </c>
      <c r="M385">
        <v>328</v>
      </c>
      <c r="N385">
        <v>318</v>
      </c>
      <c r="O385">
        <v>10</v>
      </c>
      <c r="P385">
        <v>127</v>
      </c>
      <c r="Q385">
        <v>191</v>
      </c>
    </row>
    <row r="386" spans="1:17" ht="14.25">
      <c r="A386">
        <v>382</v>
      </c>
      <c r="B386" t="str">
        <f t="shared" si="68"/>
        <v>160704</v>
      </c>
      <c r="C386" t="str">
        <f t="shared" si="69"/>
        <v>gm. Łambinowice</v>
      </c>
      <c r="D386" t="str">
        <f t="shared" si="67"/>
        <v>nyski</v>
      </c>
      <c r="E386" t="str">
        <f t="shared" si="59"/>
        <v>opolskie</v>
      </c>
      <c r="F386">
        <v>3</v>
      </c>
      <c r="G386" t="str">
        <f>"Szkoła Podstawowa, Mańkowice 113, Mańkowice"</f>
        <v>Szkoła Podstawowa, Mańkowice 113, Mańkowice</v>
      </c>
      <c r="H386">
        <v>506</v>
      </c>
      <c r="I386">
        <v>581</v>
      </c>
      <c r="J386">
        <v>220</v>
      </c>
      <c r="K386">
        <v>0</v>
      </c>
      <c r="L386">
        <v>361</v>
      </c>
      <c r="M386">
        <v>220</v>
      </c>
      <c r="N386">
        <v>217</v>
      </c>
      <c r="O386">
        <v>3</v>
      </c>
      <c r="P386">
        <v>115</v>
      </c>
      <c r="Q386">
        <v>102</v>
      </c>
    </row>
    <row r="387" spans="1:17" ht="14.25">
      <c r="A387">
        <v>383</v>
      </c>
      <c r="B387" t="str">
        <f t="shared" si="68"/>
        <v>160704</v>
      </c>
      <c r="C387" t="str">
        <f t="shared" si="69"/>
        <v>gm. Łambinowice</v>
      </c>
      <c r="D387" t="str">
        <f t="shared" si="67"/>
        <v>nyski</v>
      </c>
      <c r="E387" t="str">
        <f t="shared" si="59"/>
        <v>opolskie</v>
      </c>
      <c r="F387">
        <v>4</v>
      </c>
      <c r="G387" t="str">
        <f>"Szkoła Podstawowa, Bielice 102, Bielice"</f>
        <v>Szkoła Podstawowa, Bielice 102, Bielice</v>
      </c>
      <c r="H387">
        <v>990</v>
      </c>
      <c r="I387">
        <v>880</v>
      </c>
      <c r="J387">
        <v>419</v>
      </c>
      <c r="K387">
        <v>0</v>
      </c>
      <c r="L387">
        <v>461</v>
      </c>
      <c r="M387">
        <v>419</v>
      </c>
      <c r="N387">
        <v>414</v>
      </c>
      <c r="O387">
        <v>5</v>
      </c>
      <c r="P387">
        <v>247</v>
      </c>
      <c r="Q387">
        <v>167</v>
      </c>
    </row>
    <row r="388" spans="1:17" ht="14.25">
      <c r="A388">
        <v>384</v>
      </c>
      <c r="B388" t="str">
        <f t="shared" si="68"/>
        <v>160704</v>
      </c>
      <c r="C388" t="str">
        <f t="shared" si="69"/>
        <v>gm. Łambinowice</v>
      </c>
      <c r="D388" t="str">
        <f t="shared" si="67"/>
        <v>nyski</v>
      </c>
      <c r="E388" t="str">
        <f t="shared" si="59"/>
        <v>opolskie</v>
      </c>
      <c r="F388">
        <v>5</v>
      </c>
      <c r="G388" t="str">
        <f>"Świetlica Wiejska, Wierzbie 108, Wierzbie"</f>
        <v>Świetlica Wiejska, Wierzbie 108, Wierzbie</v>
      </c>
      <c r="H388">
        <v>752</v>
      </c>
      <c r="I388">
        <v>720</v>
      </c>
      <c r="J388">
        <v>315</v>
      </c>
      <c r="K388">
        <v>0</v>
      </c>
      <c r="L388">
        <v>405</v>
      </c>
      <c r="M388">
        <v>315</v>
      </c>
      <c r="N388">
        <v>313</v>
      </c>
      <c r="O388">
        <v>2</v>
      </c>
      <c r="P388">
        <v>122</v>
      </c>
      <c r="Q388">
        <v>191</v>
      </c>
    </row>
    <row r="389" spans="1:17" ht="14.25">
      <c r="A389">
        <v>385</v>
      </c>
      <c r="B389" t="str">
        <f t="shared" si="68"/>
        <v>160704</v>
      </c>
      <c r="C389" t="str">
        <f t="shared" si="69"/>
        <v>gm. Łambinowice</v>
      </c>
      <c r="D389" t="str">
        <f t="shared" si="67"/>
        <v>nyski</v>
      </c>
      <c r="E389" t="str">
        <f aca="true" t="shared" si="70" ref="E389:E452">"opolskie"</f>
        <v>opolskie</v>
      </c>
      <c r="F389">
        <v>6</v>
      </c>
      <c r="G389" t="str">
        <f>"Szkoła Podstawowa, Lasocice 82, Lasocice"</f>
        <v>Szkoła Podstawowa, Lasocice 82, Lasocice</v>
      </c>
      <c r="H389">
        <v>661</v>
      </c>
      <c r="I389">
        <v>640</v>
      </c>
      <c r="J389">
        <v>275</v>
      </c>
      <c r="K389">
        <v>0</v>
      </c>
      <c r="L389">
        <v>365</v>
      </c>
      <c r="M389">
        <v>275</v>
      </c>
      <c r="N389">
        <v>273</v>
      </c>
      <c r="O389">
        <v>2</v>
      </c>
      <c r="P389">
        <v>137</v>
      </c>
      <c r="Q389">
        <v>136</v>
      </c>
    </row>
    <row r="390" spans="1:17" ht="14.25">
      <c r="A390">
        <v>386</v>
      </c>
      <c r="B390" t="str">
        <f t="shared" si="68"/>
        <v>160704</v>
      </c>
      <c r="C390" t="str">
        <f t="shared" si="69"/>
        <v>gm. Łambinowice</v>
      </c>
      <c r="D390" t="str">
        <f t="shared" si="67"/>
        <v>nyski</v>
      </c>
      <c r="E390" t="str">
        <f t="shared" si="70"/>
        <v>opolskie</v>
      </c>
      <c r="F390">
        <v>7</v>
      </c>
      <c r="G390" t="str">
        <f>"Świetlica Wiejska, Sowin 87, Sowin"</f>
        <v>Świetlica Wiejska, Sowin 87, Sowin</v>
      </c>
      <c r="H390">
        <v>453</v>
      </c>
      <c r="I390">
        <v>473</v>
      </c>
      <c r="J390">
        <v>141</v>
      </c>
      <c r="K390">
        <v>0</v>
      </c>
      <c r="L390">
        <v>332</v>
      </c>
      <c r="M390">
        <v>141</v>
      </c>
      <c r="N390">
        <v>141</v>
      </c>
      <c r="O390">
        <v>0</v>
      </c>
      <c r="P390">
        <v>43</v>
      </c>
      <c r="Q390">
        <v>98</v>
      </c>
    </row>
    <row r="391" spans="1:17" ht="14.25">
      <c r="A391">
        <v>387</v>
      </c>
      <c r="B391" t="str">
        <f aca="true" t="shared" si="71" ref="B391:B424">"160705"</f>
        <v>160705</v>
      </c>
      <c r="C391" t="str">
        <f aca="true" t="shared" si="72" ref="C391:C424">"gm. Nysa"</f>
        <v>gm. Nysa</v>
      </c>
      <c r="D391" t="str">
        <f t="shared" si="67"/>
        <v>nyski</v>
      </c>
      <c r="E391" t="str">
        <f t="shared" si="70"/>
        <v>opolskie</v>
      </c>
      <c r="F391">
        <v>1</v>
      </c>
      <c r="G391" t="str">
        <f>"Nyski Dom Kultury, ul. Wałowa 7, Nysa"</f>
        <v>Nyski Dom Kultury, ul. Wałowa 7, Nysa</v>
      </c>
      <c r="H391">
        <v>752</v>
      </c>
      <c r="I391">
        <v>719</v>
      </c>
      <c r="J391">
        <v>407</v>
      </c>
      <c r="K391">
        <v>2</v>
      </c>
      <c r="L391">
        <v>312</v>
      </c>
      <c r="M391">
        <v>407</v>
      </c>
      <c r="N391">
        <v>404</v>
      </c>
      <c r="O391">
        <v>3</v>
      </c>
      <c r="P391">
        <v>183</v>
      </c>
      <c r="Q391">
        <v>221</v>
      </c>
    </row>
    <row r="392" spans="1:17" ht="14.25">
      <c r="A392">
        <v>388</v>
      </c>
      <c r="B392" t="str">
        <f t="shared" si="71"/>
        <v>160705</v>
      </c>
      <c r="C392" t="str">
        <f t="shared" si="72"/>
        <v>gm. Nysa</v>
      </c>
      <c r="D392" t="str">
        <f t="shared" si="67"/>
        <v>nyski</v>
      </c>
      <c r="E392" t="str">
        <f t="shared" si="70"/>
        <v>opolskie</v>
      </c>
      <c r="F392">
        <v>2</v>
      </c>
      <c r="G392" t="str">
        <f>"Gimnazjum Nr 1, ul. Chodowieckiego 7, Nysa"</f>
        <v>Gimnazjum Nr 1, ul. Chodowieckiego 7, Nysa</v>
      </c>
      <c r="H392">
        <v>2034</v>
      </c>
      <c r="I392">
        <v>1840</v>
      </c>
      <c r="J392">
        <v>1121</v>
      </c>
      <c r="K392">
        <v>3</v>
      </c>
      <c r="L392">
        <v>719</v>
      </c>
      <c r="M392">
        <v>1119</v>
      </c>
      <c r="N392">
        <v>1107</v>
      </c>
      <c r="O392">
        <v>12</v>
      </c>
      <c r="P392">
        <v>463</v>
      </c>
      <c r="Q392">
        <v>644</v>
      </c>
    </row>
    <row r="393" spans="1:17" ht="14.25">
      <c r="A393">
        <v>389</v>
      </c>
      <c r="B393" t="str">
        <f t="shared" si="71"/>
        <v>160705</v>
      </c>
      <c r="C393" t="str">
        <f t="shared" si="72"/>
        <v>gm. Nysa</v>
      </c>
      <c r="D393" t="str">
        <f t="shared" si="67"/>
        <v>nyski</v>
      </c>
      <c r="E393" t="str">
        <f t="shared" si="70"/>
        <v>opolskie</v>
      </c>
      <c r="F393">
        <v>3</v>
      </c>
      <c r="G393" t="str">
        <f>"Miejska i Gminna Biblioteka Publiczna ,ul. Sukiennicza 2, Nysa"</f>
        <v>Miejska i Gminna Biblioteka Publiczna ,ul. Sukiennicza 2, Nysa</v>
      </c>
      <c r="H393">
        <v>1926</v>
      </c>
      <c r="I393">
        <v>1756</v>
      </c>
      <c r="J393">
        <v>1109</v>
      </c>
      <c r="K393">
        <v>3</v>
      </c>
      <c r="L393">
        <v>647</v>
      </c>
      <c r="M393">
        <v>1109</v>
      </c>
      <c r="N393">
        <v>1100</v>
      </c>
      <c r="O393">
        <v>9</v>
      </c>
      <c r="P393">
        <v>499</v>
      </c>
      <c r="Q393">
        <v>601</v>
      </c>
    </row>
    <row r="394" spans="1:17" ht="14.25">
      <c r="A394">
        <v>390</v>
      </c>
      <c r="B394" t="str">
        <f t="shared" si="71"/>
        <v>160705</v>
      </c>
      <c r="C394" t="str">
        <f t="shared" si="72"/>
        <v>gm. Nysa</v>
      </c>
      <c r="D394" t="str">
        <f t="shared" si="67"/>
        <v>nyski</v>
      </c>
      <c r="E394" t="str">
        <f t="shared" si="70"/>
        <v>opolskie</v>
      </c>
      <c r="F394">
        <v>4</v>
      </c>
      <c r="G394" t="str">
        <f>"Szkoła Podstawowa Nr 1, ul. Bohaterów Warszawy 7, Nysa"</f>
        <v>Szkoła Podstawowa Nr 1, ul. Bohaterów Warszawy 7, Nysa</v>
      </c>
      <c r="H394">
        <v>1844</v>
      </c>
      <c r="I394">
        <v>1840</v>
      </c>
      <c r="J394">
        <v>984</v>
      </c>
      <c r="K394">
        <v>0</v>
      </c>
      <c r="L394">
        <v>856</v>
      </c>
      <c r="M394">
        <v>984</v>
      </c>
      <c r="N394">
        <v>973</v>
      </c>
      <c r="O394">
        <v>11</v>
      </c>
      <c r="P394">
        <v>361</v>
      </c>
      <c r="Q394">
        <v>612</v>
      </c>
    </row>
    <row r="395" spans="1:17" ht="14.25">
      <c r="A395">
        <v>391</v>
      </c>
      <c r="B395" t="str">
        <f t="shared" si="71"/>
        <v>160705</v>
      </c>
      <c r="C395" t="str">
        <f t="shared" si="72"/>
        <v>gm. Nysa</v>
      </c>
      <c r="D395" t="str">
        <f t="shared" si="67"/>
        <v>nyski</v>
      </c>
      <c r="E395" t="str">
        <f t="shared" si="70"/>
        <v>opolskie</v>
      </c>
      <c r="F395">
        <v>5</v>
      </c>
      <c r="G395" t="str">
        <f>"Szkoła Podstawowa Nr 5, ul. E. Gierczak 8, Nysa"</f>
        <v>Szkoła Podstawowa Nr 5, ul. E. Gierczak 8, Nysa</v>
      </c>
      <c r="H395">
        <v>1901</v>
      </c>
      <c r="I395">
        <v>1680</v>
      </c>
      <c r="J395">
        <v>829</v>
      </c>
      <c r="K395">
        <v>1</v>
      </c>
      <c r="L395">
        <v>851</v>
      </c>
      <c r="M395">
        <v>829</v>
      </c>
      <c r="N395">
        <v>821</v>
      </c>
      <c r="O395">
        <v>8</v>
      </c>
      <c r="P395">
        <v>364</v>
      </c>
      <c r="Q395">
        <v>457</v>
      </c>
    </row>
    <row r="396" spans="1:17" ht="14.25">
      <c r="A396">
        <v>392</v>
      </c>
      <c r="B396" t="str">
        <f t="shared" si="71"/>
        <v>160705</v>
      </c>
      <c r="C396" t="str">
        <f t="shared" si="72"/>
        <v>gm. Nysa</v>
      </c>
      <c r="D396" t="str">
        <f t="shared" si="67"/>
        <v>nyski</v>
      </c>
      <c r="E396" t="str">
        <f t="shared" si="70"/>
        <v>opolskie</v>
      </c>
      <c r="F396">
        <v>6</v>
      </c>
      <c r="G396" t="str">
        <f>"Gimnazjum Nr 2, ul. Bolesława Prusa 14, Nysa"</f>
        <v>Gimnazjum Nr 2, ul. Bolesława Prusa 14, Nysa</v>
      </c>
      <c r="H396">
        <v>1406</v>
      </c>
      <c r="I396">
        <v>1387</v>
      </c>
      <c r="J396">
        <v>814</v>
      </c>
      <c r="K396">
        <v>1</v>
      </c>
      <c r="L396">
        <v>573</v>
      </c>
      <c r="M396">
        <v>814</v>
      </c>
      <c r="N396">
        <v>807</v>
      </c>
      <c r="O396">
        <v>7</v>
      </c>
      <c r="P396">
        <v>281</v>
      </c>
      <c r="Q396">
        <v>526</v>
      </c>
    </row>
    <row r="397" spans="1:17" ht="14.25">
      <c r="A397">
        <v>393</v>
      </c>
      <c r="B397" t="str">
        <f t="shared" si="71"/>
        <v>160705</v>
      </c>
      <c r="C397" t="str">
        <f t="shared" si="72"/>
        <v>gm. Nysa</v>
      </c>
      <c r="D397" t="str">
        <f t="shared" si="67"/>
        <v>nyski</v>
      </c>
      <c r="E397" t="str">
        <f t="shared" si="70"/>
        <v>opolskie</v>
      </c>
      <c r="F397">
        <v>7</v>
      </c>
      <c r="G397" t="str">
        <f>"Szkoła Podstawowa Nr 3, ul. Krawiecka 6, Nysa"</f>
        <v>Szkoła Podstawowa Nr 3, ul. Krawiecka 6, Nysa</v>
      </c>
      <c r="H397">
        <v>2211</v>
      </c>
      <c r="I397">
        <v>2000</v>
      </c>
      <c r="J397">
        <v>1018</v>
      </c>
      <c r="K397">
        <v>0</v>
      </c>
      <c r="L397">
        <v>982</v>
      </c>
      <c r="M397">
        <v>1018</v>
      </c>
      <c r="N397">
        <v>1006</v>
      </c>
      <c r="O397">
        <v>12</v>
      </c>
      <c r="P397">
        <v>438</v>
      </c>
      <c r="Q397">
        <v>568</v>
      </c>
    </row>
    <row r="398" spans="1:17" ht="14.25">
      <c r="A398">
        <v>394</v>
      </c>
      <c r="B398" t="str">
        <f t="shared" si="71"/>
        <v>160705</v>
      </c>
      <c r="C398" t="str">
        <f t="shared" si="72"/>
        <v>gm. Nysa</v>
      </c>
      <c r="D398" t="str">
        <f t="shared" si="67"/>
        <v>nyski</v>
      </c>
      <c r="E398" t="str">
        <f t="shared" si="70"/>
        <v>opolskie</v>
      </c>
      <c r="F398">
        <v>8</v>
      </c>
      <c r="G398" t="str">
        <f>"Klub Nyskiego Domu Kultury, ul. Moniuszki 5, Nysa"</f>
        <v>Klub Nyskiego Domu Kultury, ul. Moniuszki 5, Nysa</v>
      </c>
      <c r="H398">
        <v>1101</v>
      </c>
      <c r="I398">
        <v>1040</v>
      </c>
      <c r="J398">
        <v>553</v>
      </c>
      <c r="K398">
        <v>1</v>
      </c>
      <c r="L398">
        <v>487</v>
      </c>
      <c r="M398">
        <v>553</v>
      </c>
      <c r="N398">
        <v>552</v>
      </c>
      <c r="O398">
        <v>1</v>
      </c>
      <c r="P398">
        <v>220</v>
      </c>
      <c r="Q398">
        <v>332</v>
      </c>
    </row>
    <row r="399" spans="1:17" ht="14.25">
      <c r="A399">
        <v>395</v>
      </c>
      <c r="B399" t="str">
        <f t="shared" si="71"/>
        <v>160705</v>
      </c>
      <c r="C399" t="str">
        <f t="shared" si="72"/>
        <v>gm. Nysa</v>
      </c>
      <c r="D399" t="str">
        <f t="shared" si="67"/>
        <v>nyski</v>
      </c>
      <c r="E399" t="str">
        <f t="shared" si="70"/>
        <v>opolskie</v>
      </c>
      <c r="F399">
        <v>9</v>
      </c>
      <c r="G399" t="str">
        <f>"Polski Komitet Pomocy Społecznej, ul. Sudecka 8, Nysa"</f>
        <v>Polski Komitet Pomocy Społecznej, ul. Sudecka 8, Nysa</v>
      </c>
      <c r="H399">
        <v>1482</v>
      </c>
      <c r="I399">
        <v>1440</v>
      </c>
      <c r="J399">
        <v>793</v>
      </c>
      <c r="K399">
        <v>1</v>
      </c>
      <c r="L399">
        <v>647</v>
      </c>
      <c r="M399">
        <v>793</v>
      </c>
      <c r="N399">
        <v>788</v>
      </c>
      <c r="O399">
        <v>5</v>
      </c>
      <c r="P399">
        <v>274</v>
      </c>
      <c r="Q399">
        <v>514</v>
      </c>
    </row>
    <row r="400" spans="1:17" ht="14.25">
      <c r="A400">
        <v>396</v>
      </c>
      <c r="B400" t="str">
        <f t="shared" si="71"/>
        <v>160705</v>
      </c>
      <c r="C400" t="str">
        <f t="shared" si="72"/>
        <v>gm. Nysa</v>
      </c>
      <c r="D400" t="str">
        <f t="shared" si="67"/>
        <v>nyski</v>
      </c>
      <c r="E400" t="str">
        <f t="shared" si="70"/>
        <v>opolskie</v>
      </c>
      <c r="F400">
        <v>10</v>
      </c>
      <c r="G400" t="str">
        <f>"Hala Sportowa, ul. Głuchołaska 12, Nysa"</f>
        <v>Hala Sportowa, ul. Głuchołaska 12, Nysa</v>
      </c>
      <c r="H400">
        <v>1799</v>
      </c>
      <c r="I400">
        <v>1680</v>
      </c>
      <c r="J400">
        <v>907</v>
      </c>
      <c r="K400">
        <v>0</v>
      </c>
      <c r="L400">
        <v>773</v>
      </c>
      <c r="M400">
        <v>906</v>
      </c>
      <c r="N400">
        <v>893</v>
      </c>
      <c r="O400">
        <v>13</v>
      </c>
      <c r="P400">
        <v>356</v>
      </c>
      <c r="Q400">
        <v>537</v>
      </c>
    </row>
    <row r="401" spans="1:17" ht="14.25">
      <c r="A401">
        <v>397</v>
      </c>
      <c r="B401" t="str">
        <f t="shared" si="71"/>
        <v>160705</v>
      </c>
      <c r="C401" t="str">
        <f t="shared" si="72"/>
        <v>gm. Nysa</v>
      </c>
      <c r="D401" t="str">
        <f t="shared" si="67"/>
        <v>nyski</v>
      </c>
      <c r="E401" t="str">
        <f t="shared" si="70"/>
        <v>opolskie</v>
      </c>
      <c r="F401">
        <v>11</v>
      </c>
      <c r="G401" t="str">
        <f>"Zespół Szkół Sportowych, ul. Bramy Grodkowskiej 4, Nysa"</f>
        <v>Zespół Szkół Sportowych, ul. Bramy Grodkowskiej 4, Nysa</v>
      </c>
      <c r="H401">
        <v>2250</v>
      </c>
      <c r="I401">
        <v>2075</v>
      </c>
      <c r="J401">
        <v>1140</v>
      </c>
      <c r="K401">
        <v>1</v>
      </c>
      <c r="L401">
        <v>935</v>
      </c>
      <c r="M401">
        <v>1140</v>
      </c>
      <c r="N401">
        <v>1131</v>
      </c>
      <c r="O401">
        <v>9</v>
      </c>
      <c r="P401">
        <v>460</v>
      </c>
      <c r="Q401">
        <v>671</v>
      </c>
    </row>
    <row r="402" spans="1:17" ht="14.25">
      <c r="A402">
        <v>398</v>
      </c>
      <c r="B402" t="str">
        <f t="shared" si="71"/>
        <v>160705</v>
      </c>
      <c r="C402" t="str">
        <f t="shared" si="72"/>
        <v>gm. Nysa</v>
      </c>
      <c r="D402" t="str">
        <f t="shared" si="67"/>
        <v>nyski</v>
      </c>
      <c r="E402" t="str">
        <f t="shared" si="70"/>
        <v>opolskie</v>
      </c>
      <c r="F402">
        <v>12</v>
      </c>
      <c r="G402" t="str">
        <f>"Przedszkole Nr 14, ul. Grodkowska 30, Nysa"</f>
        <v>Przedszkole Nr 14, ul. Grodkowska 30, Nysa</v>
      </c>
      <c r="H402">
        <v>2170</v>
      </c>
      <c r="I402">
        <v>1999</v>
      </c>
      <c r="J402">
        <v>1131</v>
      </c>
      <c r="K402">
        <v>0</v>
      </c>
      <c r="L402">
        <v>868</v>
      </c>
      <c r="M402">
        <v>1131</v>
      </c>
      <c r="N402">
        <v>1119</v>
      </c>
      <c r="O402">
        <v>12</v>
      </c>
      <c r="P402">
        <v>505</v>
      </c>
      <c r="Q402">
        <v>614</v>
      </c>
    </row>
    <row r="403" spans="1:17" ht="14.25">
      <c r="A403">
        <v>399</v>
      </c>
      <c r="B403" t="str">
        <f t="shared" si="71"/>
        <v>160705</v>
      </c>
      <c r="C403" t="str">
        <f t="shared" si="72"/>
        <v>gm. Nysa</v>
      </c>
      <c r="D403" t="str">
        <f t="shared" si="67"/>
        <v>nyski</v>
      </c>
      <c r="E403" t="str">
        <f t="shared" si="70"/>
        <v>opolskie</v>
      </c>
      <c r="F403">
        <v>13</v>
      </c>
      <c r="G403" t="str">
        <f>"Przedszkole Nr 6, ul. Armii Krajowej 9, Nysa"</f>
        <v>Przedszkole Nr 6, ul. Armii Krajowej 9, Nysa</v>
      </c>
      <c r="H403">
        <v>954</v>
      </c>
      <c r="I403">
        <v>879</v>
      </c>
      <c r="J403">
        <v>505</v>
      </c>
      <c r="K403">
        <v>0</v>
      </c>
      <c r="L403">
        <v>374</v>
      </c>
      <c r="M403">
        <v>505</v>
      </c>
      <c r="N403">
        <v>501</v>
      </c>
      <c r="O403">
        <v>4</v>
      </c>
      <c r="P403">
        <v>217</v>
      </c>
      <c r="Q403">
        <v>284</v>
      </c>
    </row>
    <row r="404" spans="1:17" ht="14.25">
      <c r="A404">
        <v>400</v>
      </c>
      <c r="B404" t="str">
        <f t="shared" si="71"/>
        <v>160705</v>
      </c>
      <c r="C404" t="str">
        <f t="shared" si="72"/>
        <v>gm. Nysa</v>
      </c>
      <c r="D404" t="str">
        <f t="shared" si="67"/>
        <v>nyski</v>
      </c>
      <c r="E404" t="str">
        <f t="shared" si="70"/>
        <v>opolskie</v>
      </c>
      <c r="F404">
        <v>14</v>
      </c>
      <c r="G404" t="str">
        <f>"Powiatowy Urząd Pracy, ul. Słowiańska 19, Nysa"</f>
        <v>Powiatowy Urząd Pracy, ul. Słowiańska 19, Nysa</v>
      </c>
      <c r="H404">
        <v>1964</v>
      </c>
      <c r="I404">
        <v>1840</v>
      </c>
      <c r="J404">
        <v>969</v>
      </c>
      <c r="K404">
        <v>1</v>
      </c>
      <c r="L404">
        <v>871</v>
      </c>
      <c r="M404">
        <v>967</v>
      </c>
      <c r="N404">
        <v>952</v>
      </c>
      <c r="O404">
        <v>15</v>
      </c>
      <c r="P404">
        <v>389</v>
      </c>
      <c r="Q404">
        <v>563</v>
      </c>
    </row>
    <row r="405" spans="1:17" ht="14.25">
      <c r="A405">
        <v>401</v>
      </c>
      <c r="B405" t="str">
        <f t="shared" si="71"/>
        <v>160705</v>
      </c>
      <c r="C405" t="str">
        <f t="shared" si="72"/>
        <v>gm. Nysa</v>
      </c>
      <c r="D405" t="str">
        <f t="shared" si="67"/>
        <v>nyski</v>
      </c>
      <c r="E405" t="str">
        <f t="shared" si="70"/>
        <v>opolskie</v>
      </c>
      <c r="F405">
        <v>15</v>
      </c>
      <c r="G405" t="str">
        <f>"Zespół Szkół Ekonomicznych, Plac Sikorskiego 1, Nysa"</f>
        <v>Zespół Szkół Ekonomicznych, Plac Sikorskiego 1, Nysa</v>
      </c>
      <c r="H405">
        <v>1672</v>
      </c>
      <c r="I405">
        <v>1517</v>
      </c>
      <c r="J405">
        <v>785</v>
      </c>
      <c r="K405">
        <v>2</v>
      </c>
      <c r="L405">
        <v>732</v>
      </c>
      <c r="M405">
        <v>785</v>
      </c>
      <c r="N405">
        <v>775</v>
      </c>
      <c r="O405">
        <v>10</v>
      </c>
      <c r="P405">
        <v>289</v>
      </c>
      <c r="Q405">
        <v>486</v>
      </c>
    </row>
    <row r="406" spans="1:17" ht="14.25">
      <c r="A406">
        <v>402</v>
      </c>
      <c r="B406" t="str">
        <f t="shared" si="71"/>
        <v>160705</v>
      </c>
      <c r="C406" t="str">
        <f t="shared" si="72"/>
        <v>gm. Nysa</v>
      </c>
      <c r="D406" t="str">
        <f t="shared" si="67"/>
        <v>nyski</v>
      </c>
      <c r="E406" t="str">
        <f t="shared" si="70"/>
        <v>opolskie</v>
      </c>
      <c r="F406">
        <v>16</v>
      </c>
      <c r="G406" t="str">
        <f>"Zespół Szkół Ekonomicznych, Plac Sikorskiego 1, Nysa"</f>
        <v>Zespół Szkół Ekonomicznych, Plac Sikorskiego 1, Nysa</v>
      </c>
      <c r="H406">
        <v>929</v>
      </c>
      <c r="I406">
        <v>882</v>
      </c>
      <c r="J406">
        <v>512</v>
      </c>
      <c r="K406">
        <v>0</v>
      </c>
      <c r="L406">
        <v>370</v>
      </c>
      <c r="M406">
        <v>512</v>
      </c>
      <c r="N406">
        <v>507</v>
      </c>
      <c r="O406">
        <v>5</v>
      </c>
      <c r="P406">
        <v>212</v>
      </c>
      <c r="Q406">
        <v>295</v>
      </c>
    </row>
    <row r="407" spans="1:17" ht="14.25">
      <c r="A407">
        <v>403</v>
      </c>
      <c r="B407" t="str">
        <f t="shared" si="71"/>
        <v>160705</v>
      </c>
      <c r="C407" t="str">
        <f t="shared" si="72"/>
        <v>gm. Nysa</v>
      </c>
      <c r="D407" t="str">
        <f aca="true" t="shared" si="73" ref="D407:D438">"nyski"</f>
        <v>nyski</v>
      </c>
      <c r="E407" t="str">
        <f t="shared" si="70"/>
        <v>opolskie</v>
      </c>
      <c r="F407">
        <v>17</v>
      </c>
      <c r="G407" t="str">
        <f>"Gimnazjum nr 2, ul. Bolesława Prusa nr 14, Nysa"</f>
        <v>Gimnazjum nr 2, ul. Bolesława Prusa nr 14, Nysa</v>
      </c>
      <c r="H407">
        <v>1722</v>
      </c>
      <c r="I407">
        <v>1600</v>
      </c>
      <c r="J407">
        <v>971</v>
      </c>
      <c r="K407">
        <v>1</v>
      </c>
      <c r="L407">
        <v>629</v>
      </c>
      <c r="M407">
        <v>968</v>
      </c>
      <c r="N407">
        <v>961</v>
      </c>
      <c r="O407">
        <v>7</v>
      </c>
      <c r="P407">
        <v>414</v>
      </c>
      <c r="Q407">
        <v>547</v>
      </c>
    </row>
    <row r="408" spans="1:17" ht="14.25">
      <c r="A408">
        <v>404</v>
      </c>
      <c r="B408" t="str">
        <f t="shared" si="71"/>
        <v>160705</v>
      </c>
      <c r="C408" t="str">
        <f t="shared" si="72"/>
        <v>gm. Nysa</v>
      </c>
      <c r="D408" t="str">
        <f t="shared" si="73"/>
        <v>nyski</v>
      </c>
      <c r="E408" t="str">
        <f t="shared" si="70"/>
        <v>opolskie</v>
      </c>
      <c r="F408">
        <v>18</v>
      </c>
      <c r="G408" t="str">
        <f>"Szkoła Podstawowa Nr 10, ul. 11 Listopada 6, Nysa"</f>
        <v>Szkoła Podstawowa Nr 10, ul. 11 Listopada 6, Nysa</v>
      </c>
      <c r="H408">
        <v>2156</v>
      </c>
      <c r="I408">
        <v>2000</v>
      </c>
      <c r="J408">
        <v>1295</v>
      </c>
      <c r="K408">
        <v>1</v>
      </c>
      <c r="L408">
        <v>705</v>
      </c>
      <c r="M408">
        <v>1295</v>
      </c>
      <c r="N408">
        <v>1283</v>
      </c>
      <c r="O408">
        <v>12</v>
      </c>
      <c r="P408">
        <v>525</v>
      </c>
      <c r="Q408">
        <v>758</v>
      </c>
    </row>
    <row r="409" spans="1:17" ht="14.25">
      <c r="A409">
        <v>405</v>
      </c>
      <c r="B409" t="str">
        <f t="shared" si="71"/>
        <v>160705</v>
      </c>
      <c r="C409" t="str">
        <f t="shared" si="72"/>
        <v>gm. Nysa</v>
      </c>
      <c r="D409" t="str">
        <f t="shared" si="73"/>
        <v>nyski</v>
      </c>
      <c r="E409" t="str">
        <f t="shared" si="70"/>
        <v>opolskie</v>
      </c>
      <c r="F409">
        <v>19</v>
      </c>
      <c r="G409" t="str">
        <f>"Zespół Szkół Rolnicze Centrum Kształcenia Ustawicznego, ul. Rodziewiczówny 1, Nysa"</f>
        <v>Zespół Szkół Rolnicze Centrum Kształcenia Ustawicznego, ul. Rodziewiczówny 1, Nysa</v>
      </c>
      <c r="H409">
        <v>2064</v>
      </c>
      <c r="I409">
        <v>1920</v>
      </c>
      <c r="J409">
        <v>1162</v>
      </c>
      <c r="K409">
        <v>1</v>
      </c>
      <c r="L409">
        <v>758</v>
      </c>
      <c r="M409">
        <v>1161</v>
      </c>
      <c r="N409">
        <v>1149</v>
      </c>
      <c r="O409">
        <v>12</v>
      </c>
      <c r="P409">
        <v>488</v>
      </c>
      <c r="Q409">
        <v>661</v>
      </c>
    </row>
    <row r="410" spans="1:17" ht="14.25">
      <c r="A410">
        <v>406</v>
      </c>
      <c r="B410" t="str">
        <f t="shared" si="71"/>
        <v>160705</v>
      </c>
      <c r="C410" t="str">
        <f t="shared" si="72"/>
        <v>gm. Nysa</v>
      </c>
      <c r="D410" t="str">
        <f t="shared" si="73"/>
        <v>nyski</v>
      </c>
      <c r="E410" t="str">
        <f t="shared" si="70"/>
        <v>opolskie</v>
      </c>
      <c r="F410">
        <v>20</v>
      </c>
      <c r="G410" t="str">
        <f>"Zespół Szkół Rolnicze Centrum Kształcenia Ustawicznego, ul. Rodziewiczówny 1, Nysa"</f>
        <v>Zespół Szkół Rolnicze Centrum Kształcenia Ustawicznego, ul. Rodziewiczówny 1, Nysa</v>
      </c>
      <c r="H410">
        <v>2217</v>
      </c>
      <c r="I410">
        <v>2000</v>
      </c>
      <c r="J410">
        <v>1176</v>
      </c>
      <c r="K410">
        <v>0</v>
      </c>
      <c r="L410">
        <v>824</v>
      </c>
      <c r="M410">
        <v>1176</v>
      </c>
      <c r="N410">
        <v>1168</v>
      </c>
      <c r="O410">
        <v>8</v>
      </c>
      <c r="P410">
        <v>498</v>
      </c>
      <c r="Q410">
        <v>670</v>
      </c>
    </row>
    <row r="411" spans="1:17" ht="14.25">
      <c r="A411">
        <v>407</v>
      </c>
      <c r="B411" t="str">
        <f t="shared" si="71"/>
        <v>160705</v>
      </c>
      <c r="C411" t="str">
        <f t="shared" si="72"/>
        <v>gm. Nysa</v>
      </c>
      <c r="D411" t="str">
        <f t="shared" si="73"/>
        <v>nyski</v>
      </c>
      <c r="E411" t="str">
        <f t="shared" si="70"/>
        <v>opolskie</v>
      </c>
      <c r="F411">
        <v>21</v>
      </c>
      <c r="G411" t="str">
        <f>"Przedszkole Nr 9, ul. Sudecka 7, Nysa"</f>
        <v>Przedszkole Nr 9, ul. Sudecka 7, Nysa</v>
      </c>
      <c r="H411">
        <v>1862</v>
      </c>
      <c r="I411">
        <v>1763</v>
      </c>
      <c r="J411">
        <v>1077</v>
      </c>
      <c r="K411">
        <v>0</v>
      </c>
      <c r="L411">
        <v>686</v>
      </c>
      <c r="M411">
        <v>1073</v>
      </c>
      <c r="N411">
        <v>1063</v>
      </c>
      <c r="O411">
        <v>10</v>
      </c>
      <c r="P411">
        <v>415</v>
      </c>
      <c r="Q411">
        <v>648</v>
      </c>
    </row>
    <row r="412" spans="1:17" ht="14.25">
      <c r="A412">
        <v>408</v>
      </c>
      <c r="B412" t="str">
        <f t="shared" si="71"/>
        <v>160705</v>
      </c>
      <c r="C412" t="str">
        <f t="shared" si="72"/>
        <v>gm. Nysa</v>
      </c>
      <c r="D412" t="str">
        <f t="shared" si="73"/>
        <v>nyski</v>
      </c>
      <c r="E412" t="str">
        <f t="shared" si="70"/>
        <v>opolskie</v>
      </c>
      <c r="F412">
        <v>22</v>
      </c>
      <c r="G412" t="str">
        <f>"Szkoła Podstawowa, ul. Nyska 11, Biała Nyska"</f>
        <v>Szkoła Podstawowa, ul. Nyska 11, Biała Nyska</v>
      </c>
      <c r="H412">
        <v>1667</v>
      </c>
      <c r="I412">
        <v>1520</v>
      </c>
      <c r="J412">
        <v>710</v>
      </c>
      <c r="K412">
        <v>0</v>
      </c>
      <c r="L412">
        <v>810</v>
      </c>
      <c r="M412">
        <v>710</v>
      </c>
      <c r="N412">
        <v>709</v>
      </c>
      <c r="O412">
        <v>1</v>
      </c>
      <c r="P412">
        <v>381</v>
      </c>
      <c r="Q412">
        <v>328</v>
      </c>
    </row>
    <row r="413" spans="1:17" ht="14.25">
      <c r="A413">
        <v>409</v>
      </c>
      <c r="B413" t="str">
        <f t="shared" si="71"/>
        <v>160705</v>
      </c>
      <c r="C413" t="str">
        <f t="shared" si="72"/>
        <v>gm. Nysa</v>
      </c>
      <c r="D413" t="str">
        <f t="shared" si="73"/>
        <v>nyski</v>
      </c>
      <c r="E413" t="str">
        <f t="shared" si="70"/>
        <v>opolskie</v>
      </c>
      <c r="F413">
        <v>23</v>
      </c>
      <c r="G413" t="str">
        <f>"Zespół Szkolno - Przedszkolny, Koperniki 16a, Koperniki"</f>
        <v>Zespół Szkolno - Przedszkolny, Koperniki 16a, Koperniki</v>
      </c>
      <c r="H413">
        <v>704</v>
      </c>
      <c r="I413">
        <v>723</v>
      </c>
      <c r="J413">
        <v>279</v>
      </c>
      <c r="K413">
        <v>0</v>
      </c>
      <c r="L413">
        <v>444</v>
      </c>
      <c r="M413">
        <v>279</v>
      </c>
      <c r="N413">
        <v>274</v>
      </c>
      <c r="O413">
        <v>5</v>
      </c>
      <c r="P413">
        <v>137</v>
      </c>
      <c r="Q413">
        <v>137</v>
      </c>
    </row>
    <row r="414" spans="1:17" ht="14.25">
      <c r="A414">
        <v>410</v>
      </c>
      <c r="B414" t="str">
        <f t="shared" si="71"/>
        <v>160705</v>
      </c>
      <c r="C414" t="str">
        <f t="shared" si="72"/>
        <v>gm. Nysa</v>
      </c>
      <c r="D414" t="str">
        <f t="shared" si="73"/>
        <v>nyski</v>
      </c>
      <c r="E414" t="str">
        <f t="shared" si="70"/>
        <v>opolskie</v>
      </c>
      <c r="F414">
        <v>24</v>
      </c>
      <c r="G414" t="str">
        <f>"Oddział Przedszkolny, Hajduki Nyskie 128, Hajduki Nyskie"</f>
        <v>Oddział Przedszkolny, Hajduki Nyskie 128, Hajduki Nyskie</v>
      </c>
      <c r="H414">
        <v>1099</v>
      </c>
      <c r="I414">
        <v>1039</v>
      </c>
      <c r="J414">
        <v>457</v>
      </c>
      <c r="K414">
        <v>0</v>
      </c>
      <c r="L414">
        <v>582</v>
      </c>
      <c r="M414">
        <v>457</v>
      </c>
      <c r="N414">
        <v>452</v>
      </c>
      <c r="O414">
        <v>5</v>
      </c>
      <c r="P414">
        <v>231</v>
      </c>
      <c r="Q414">
        <v>221</v>
      </c>
    </row>
    <row r="415" spans="1:17" ht="14.25">
      <c r="A415">
        <v>411</v>
      </c>
      <c r="B415" t="str">
        <f t="shared" si="71"/>
        <v>160705</v>
      </c>
      <c r="C415" t="str">
        <f t="shared" si="72"/>
        <v>gm. Nysa</v>
      </c>
      <c r="D415" t="str">
        <f t="shared" si="73"/>
        <v>nyski</v>
      </c>
      <c r="E415" t="str">
        <f t="shared" si="70"/>
        <v>opolskie</v>
      </c>
      <c r="F415">
        <v>25</v>
      </c>
      <c r="G415" t="str">
        <f>"Świetlica Wiejska, Wyszków Śląski 45, Wyszków Śląski"</f>
        <v>Świetlica Wiejska, Wyszków Śląski 45, Wyszków Śląski</v>
      </c>
      <c r="H415">
        <v>1017</v>
      </c>
      <c r="I415">
        <v>964</v>
      </c>
      <c r="J415">
        <v>454</v>
      </c>
      <c r="K415">
        <v>0</v>
      </c>
      <c r="L415">
        <v>510</v>
      </c>
      <c r="M415">
        <v>454</v>
      </c>
      <c r="N415">
        <v>454</v>
      </c>
      <c r="O415">
        <v>0</v>
      </c>
      <c r="P415">
        <v>216</v>
      </c>
      <c r="Q415">
        <v>238</v>
      </c>
    </row>
    <row r="416" spans="1:17" ht="14.25">
      <c r="A416">
        <v>412</v>
      </c>
      <c r="B416" t="str">
        <f t="shared" si="71"/>
        <v>160705</v>
      </c>
      <c r="C416" t="str">
        <f t="shared" si="72"/>
        <v>gm. Nysa</v>
      </c>
      <c r="D416" t="str">
        <f t="shared" si="73"/>
        <v>nyski</v>
      </c>
      <c r="E416" t="str">
        <f t="shared" si="70"/>
        <v>opolskie</v>
      </c>
      <c r="F416">
        <v>26</v>
      </c>
      <c r="G416" t="str">
        <f>"Zespół Szkolno-Przedszkolny, Niwnica 127, Niwnica"</f>
        <v>Zespół Szkolno-Przedszkolny, Niwnica 127, Niwnica</v>
      </c>
      <c r="H416">
        <v>1099</v>
      </c>
      <c r="I416">
        <v>1040</v>
      </c>
      <c r="J416">
        <v>506</v>
      </c>
      <c r="K416">
        <v>0</v>
      </c>
      <c r="L416">
        <v>534</v>
      </c>
      <c r="M416">
        <v>506</v>
      </c>
      <c r="N416">
        <v>496</v>
      </c>
      <c r="O416">
        <v>10</v>
      </c>
      <c r="P416">
        <v>287</v>
      </c>
      <c r="Q416">
        <v>209</v>
      </c>
    </row>
    <row r="417" spans="1:17" ht="14.25">
      <c r="A417">
        <v>413</v>
      </c>
      <c r="B417" t="str">
        <f t="shared" si="71"/>
        <v>160705</v>
      </c>
      <c r="C417" t="str">
        <f t="shared" si="72"/>
        <v>gm. Nysa</v>
      </c>
      <c r="D417" t="str">
        <f t="shared" si="73"/>
        <v>nyski</v>
      </c>
      <c r="E417" t="str">
        <f t="shared" si="70"/>
        <v>opolskie</v>
      </c>
      <c r="F417">
        <v>27</v>
      </c>
      <c r="G417" t="str">
        <f>"Świetlica Wiejska, Wierzbięcice 110, Wierzbięcice"</f>
        <v>Świetlica Wiejska, Wierzbięcice 110, Wierzbięcice</v>
      </c>
      <c r="H417">
        <v>742</v>
      </c>
      <c r="I417">
        <v>720</v>
      </c>
      <c r="J417">
        <v>313</v>
      </c>
      <c r="K417">
        <v>0</v>
      </c>
      <c r="L417">
        <v>407</v>
      </c>
      <c r="M417">
        <v>313</v>
      </c>
      <c r="N417">
        <v>309</v>
      </c>
      <c r="O417">
        <v>4</v>
      </c>
      <c r="P417">
        <v>177</v>
      </c>
      <c r="Q417">
        <v>132</v>
      </c>
    </row>
    <row r="418" spans="1:17" ht="14.25">
      <c r="A418">
        <v>414</v>
      </c>
      <c r="B418" t="str">
        <f t="shared" si="71"/>
        <v>160705</v>
      </c>
      <c r="C418" t="str">
        <f t="shared" si="72"/>
        <v>gm. Nysa</v>
      </c>
      <c r="D418" t="str">
        <f t="shared" si="73"/>
        <v>nyski</v>
      </c>
      <c r="E418" t="str">
        <f t="shared" si="70"/>
        <v>opolskie</v>
      </c>
      <c r="F418">
        <v>28</v>
      </c>
      <c r="G418" t="str">
        <f>"Świetlica wiejska, ul. Wiśniowa 1, Jędrzychów"</f>
        <v>Świetlica wiejska, ul. Wiśniowa 1, Jędrzychów</v>
      </c>
      <c r="H418">
        <v>1329</v>
      </c>
      <c r="I418">
        <v>1199</v>
      </c>
      <c r="J418">
        <v>643</v>
      </c>
      <c r="K418">
        <v>1</v>
      </c>
      <c r="L418">
        <v>556</v>
      </c>
      <c r="M418">
        <v>642</v>
      </c>
      <c r="N418">
        <v>638</v>
      </c>
      <c r="O418">
        <v>4</v>
      </c>
      <c r="P418">
        <v>305</v>
      </c>
      <c r="Q418">
        <v>333</v>
      </c>
    </row>
    <row r="419" spans="1:17" ht="14.25">
      <c r="A419">
        <v>415</v>
      </c>
      <c r="B419" t="str">
        <f t="shared" si="71"/>
        <v>160705</v>
      </c>
      <c r="C419" t="str">
        <f t="shared" si="72"/>
        <v>gm. Nysa</v>
      </c>
      <c r="D419" t="str">
        <f t="shared" si="73"/>
        <v>nyski</v>
      </c>
      <c r="E419" t="str">
        <f t="shared" si="70"/>
        <v>opolskie</v>
      </c>
      <c r="F419">
        <v>29</v>
      </c>
      <c r="G419" t="str">
        <f>"Zespół Szkolno-Przedszkolny, Złotogłowice 169, Złotogłowice"</f>
        <v>Zespół Szkolno-Przedszkolny, Złotogłowice 169, Złotogłowice</v>
      </c>
      <c r="H419">
        <v>1317</v>
      </c>
      <c r="I419">
        <v>1276</v>
      </c>
      <c r="J419">
        <v>559</v>
      </c>
      <c r="K419">
        <v>0</v>
      </c>
      <c r="L419">
        <v>717</v>
      </c>
      <c r="M419">
        <v>559</v>
      </c>
      <c r="N419">
        <v>554</v>
      </c>
      <c r="O419">
        <v>5</v>
      </c>
      <c r="P419">
        <v>342</v>
      </c>
      <c r="Q419">
        <v>212</v>
      </c>
    </row>
    <row r="420" spans="1:17" ht="14.25">
      <c r="A420">
        <v>416</v>
      </c>
      <c r="B420" t="str">
        <f t="shared" si="71"/>
        <v>160705</v>
      </c>
      <c r="C420" t="str">
        <f t="shared" si="72"/>
        <v>gm. Nysa</v>
      </c>
      <c r="D420" t="str">
        <f t="shared" si="73"/>
        <v>nyski</v>
      </c>
      <c r="E420" t="str">
        <f t="shared" si="70"/>
        <v>opolskie</v>
      </c>
      <c r="F420">
        <v>30</v>
      </c>
      <c r="G420" t="str">
        <f>"Zespół Szkolno-Przedszkolny, ul. Kolejowa 5, Goświnowice"</f>
        <v>Zespół Szkolno-Przedszkolny, ul. Kolejowa 5, Goświnowice</v>
      </c>
      <c r="H420">
        <v>1282</v>
      </c>
      <c r="I420">
        <v>1200</v>
      </c>
      <c r="J420">
        <v>636</v>
      </c>
      <c r="K420">
        <v>0</v>
      </c>
      <c r="L420">
        <v>564</v>
      </c>
      <c r="M420">
        <v>632</v>
      </c>
      <c r="N420">
        <v>628</v>
      </c>
      <c r="O420">
        <v>4</v>
      </c>
      <c r="P420">
        <v>299</v>
      </c>
      <c r="Q420">
        <v>329</v>
      </c>
    </row>
    <row r="421" spans="1:17" ht="14.25">
      <c r="A421">
        <v>417</v>
      </c>
      <c r="B421" t="str">
        <f t="shared" si="71"/>
        <v>160705</v>
      </c>
      <c r="C421" t="str">
        <f t="shared" si="72"/>
        <v>gm. Nysa</v>
      </c>
      <c r="D421" t="str">
        <f t="shared" si="73"/>
        <v>nyski</v>
      </c>
      <c r="E421" t="str">
        <f t="shared" si="70"/>
        <v>opolskie</v>
      </c>
      <c r="F421">
        <v>31</v>
      </c>
      <c r="G421" t="str">
        <f>"Zespół Szkół Rolnicze Centrum Kształcenia Ustawicznego, ul. Rodziewiczówny 1, Nysa"</f>
        <v>Zespół Szkół Rolnicze Centrum Kształcenia Ustawicznego, ul. Rodziewiczówny 1, Nysa</v>
      </c>
      <c r="H421">
        <v>1214</v>
      </c>
      <c r="I421">
        <v>1120</v>
      </c>
      <c r="J421">
        <v>687</v>
      </c>
      <c r="K421">
        <v>0</v>
      </c>
      <c r="L421">
        <v>433</v>
      </c>
      <c r="M421">
        <v>687</v>
      </c>
      <c r="N421">
        <v>682</v>
      </c>
      <c r="O421">
        <v>5</v>
      </c>
      <c r="P421">
        <v>244</v>
      </c>
      <c r="Q421">
        <v>438</v>
      </c>
    </row>
    <row r="422" spans="1:17" ht="14.25">
      <c r="A422">
        <v>418</v>
      </c>
      <c r="B422" t="str">
        <f t="shared" si="71"/>
        <v>160705</v>
      </c>
      <c r="C422" t="str">
        <f t="shared" si="72"/>
        <v>gm. Nysa</v>
      </c>
      <c r="D422" t="str">
        <f t="shared" si="73"/>
        <v>nyski</v>
      </c>
      <c r="E422" t="str">
        <f t="shared" si="70"/>
        <v>opolskie</v>
      </c>
      <c r="F422">
        <v>32</v>
      </c>
      <c r="G422" t="str">
        <f>"Szpital Miejski, ul. Bohaterów Warszawy 23, Nysa"</f>
        <v>Szpital Miejski, ul. Bohaterów Warszawy 23, Nysa</v>
      </c>
      <c r="H422">
        <v>269</v>
      </c>
      <c r="I422">
        <v>400</v>
      </c>
      <c r="J422">
        <v>88</v>
      </c>
      <c r="K422">
        <v>0</v>
      </c>
      <c r="L422">
        <v>312</v>
      </c>
      <c r="M422">
        <v>88</v>
      </c>
      <c r="N422">
        <v>88</v>
      </c>
      <c r="O422">
        <v>0</v>
      </c>
      <c r="P422">
        <v>32</v>
      </c>
      <c r="Q422">
        <v>56</v>
      </c>
    </row>
    <row r="423" spans="1:17" ht="14.25">
      <c r="A423">
        <v>419</v>
      </c>
      <c r="B423" t="str">
        <f t="shared" si="71"/>
        <v>160705</v>
      </c>
      <c r="C423" t="str">
        <f t="shared" si="72"/>
        <v>gm. Nysa</v>
      </c>
      <c r="D423" t="str">
        <f t="shared" si="73"/>
        <v>nyski</v>
      </c>
      <c r="E423" t="str">
        <f t="shared" si="70"/>
        <v>opolskie</v>
      </c>
      <c r="F423">
        <v>33</v>
      </c>
      <c r="G423" t="str">
        <f>"Dom Pomocy Społecznej, Koperniki 17, Koperniki"</f>
        <v>Dom Pomocy Społecznej, Koperniki 17, Koperniki</v>
      </c>
      <c r="H423">
        <v>95</v>
      </c>
      <c r="I423">
        <v>99</v>
      </c>
      <c r="J423">
        <v>54</v>
      </c>
      <c r="K423">
        <v>0</v>
      </c>
      <c r="L423">
        <v>45</v>
      </c>
      <c r="M423">
        <v>54</v>
      </c>
      <c r="N423">
        <v>53</v>
      </c>
      <c r="O423">
        <v>1</v>
      </c>
      <c r="P423">
        <v>48</v>
      </c>
      <c r="Q423">
        <v>5</v>
      </c>
    </row>
    <row r="424" spans="1:17" ht="14.25">
      <c r="A424">
        <v>420</v>
      </c>
      <c r="B424" t="str">
        <f t="shared" si="71"/>
        <v>160705</v>
      </c>
      <c r="C424" t="str">
        <f t="shared" si="72"/>
        <v>gm. Nysa</v>
      </c>
      <c r="D424" t="str">
        <f t="shared" si="73"/>
        <v>nyski</v>
      </c>
      <c r="E424" t="str">
        <f t="shared" si="70"/>
        <v>opolskie</v>
      </c>
      <c r="F424">
        <v>34</v>
      </c>
      <c r="G424" t="str">
        <f>"Zakład Karny, ul. Kościuszki 4a, Nysa"</f>
        <v>Zakład Karny, ul. Kościuszki 4a, Nysa</v>
      </c>
      <c r="H424">
        <v>748</v>
      </c>
      <c r="I424">
        <v>800</v>
      </c>
      <c r="J424">
        <v>507</v>
      </c>
      <c r="K424">
        <v>0</v>
      </c>
      <c r="L424">
        <v>293</v>
      </c>
      <c r="M424">
        <v>507</v>
      </c>
      <c r="N424">
        <v>480</v>
      </c>
      <c r="O424">
        <v>27</v>
      </c>
      <c r="P424">
        <v>33</v>
      </c>
      <c r="Q424">
        <v>447</v>
      </c>
    </row>
    <row r="425" spans="1:17" ht="14.25">
      <c r="A425">
        <v>421</v>
      </c>
      <c r="B425" t="str">
        <f aca="true" t="shared" si="74" ref="B425:B436">"160706"</f>
        <v>160706</v>
      </c>
      <c r="C425" t="str">
        <f aca="true" t="shared" si="75" ref="C425:C436">"gm. Otmuchów"</f>
        <v>gm. Otmuchów</v>
      </c>
      <c r="D425" t="str">
        <f t="shared" si="73"/>
        <v>nyski</v>
      </c>
      <c r="E425" t="str">
        <f t="shared" si="70"/>
        <v>opolskie</v>
      </c>
      <c r="F425">
        <v>1</v>
      </c>
      <c r="G425" t="str">
        <f>"Ośrodek Pomocy Społecznej, ul.Sienkiewicza 4b, Otmuchów"</f>
        <v>Ośrodek Pomocy Społecznej, ul.Sienkiewicza 4b, Otmuchów</v>
      </c>
      <c r="H425">
        <v>1604</v>
      </c>
      <c r="I425">
        <v>1377</v>
      </c>
      <c r="J425">
        <v>789</v>
      </c>
      <c r="K425">
        <v>0</v>
      </c>
      <c r="L425">
        <v>588</v>
      </c>
      <c r="M425">
        <v>789</v>
      </c>
      <c r="N425">
        <v>779</v>
      </c>
      <c r="O425">
        <v>10</v>
      </c>
      <c r="P425">
        <v>341</v>
      </c>
      <c r="Q425">
        <v>438</v>
      </c>
    </row>
    <row r="426" spans="1:17" ht="14.25">
      <c r="A426">
        <v>422</v>
      </c>
      <c r="B426" t="str">
        <f t="shared" si="74"/>
        <v>160706</v>
      </c>
      <c r="C426" t="str">
        <f t="shared" si="75"/>
        <v>gm. Otmuchów</v>
      </c>
      <c r="D426" t="str">
        <f t="shared" si="73"/>
        <v>nyski</v>
      </c>
      <c r="E426" t="str">
        <f t="shared" si="70"/>
        <v>opolskie</v>
      </c>
      <c r="F426">
        <v>2</v>
      </c>
      <c r="G426" t="str">
        <f>"Zespół Szkół, ul.Krakowska 36, Otmuchów"</f>
        <v>Zespół Szkół, ul.Krakowska 36, Otmuchów</v>
      </c>
      <c r="H426">
        <v>1663</v>
      </c>
      <c r="I426">
        <v>1502</v>
      </c>
      <c r="J426">
        <v>898</v>
      </c>
      <c r="K426">
        <v>2</v>
      </c>
      <c r="L426">
        <v>604</v>
      </c>
      <c r="M426">
        <v>898</v>
      </c>
      <c r="N426">
        <v>888</v>
      </c>
      <c r="O426">
        <v>10</v>
      </c>
      <c r="P426">
        <v>401</v>
      </c>
      <c r="Q426">
        <v>487</v>
      </c>
    </row>
    <row r="427" spans="1:17" ht="14.25">
      <c r="A427">
        <v>423</v>
      </c>
      <c r="B427" t="str">
        <f t="shared" si="74"/>
        <v>160706</v>
      </c>
      <c r="C427" t="str">
        <f t="shared" si="75"/>
        <v>gm. Otmuchów</v>
      </c>
      <c r="D427" t="str">
        <f t="shared" si="73"/>
        <v>nyski</v>
      </c>
      <c r="E427" t="str">
        <f t="shared" si="70"/>
        <v>opolskie</v>
      </c>
      <c r="F427">
        <v>3</v>
      </c>
      <c r="G427" t="str">
        <f>"Publiczne Przedszkole-Żłobek, ul.Wł.Jagiełły 2, Otmuchów"</f>
        <v>Publiczne Przedszkole-Żłobek, ul.Wł.Jagiełły 2, Otmuchów</v>
      </c>
      <c r="H427">
        <v>1288</v>
      </c>
      <c r="I427">
        <v>1200</v>
      </c>
      <c r="J427">
        <v>705</v>
      </c>
      <c r="K427">
        <v>1</v>
      </c>
      <c r="L427">
        <v>495</v>
      </c>
      <c r="M427">
        <v>705</v>
      </c>
      <c r="N427">
        <v>700</v>
      </c>
      <c r="O427">
        <v>5</v>
      </c>
      <c r="P427">
        <v>313</v>
      </c>
      <c r="Q427">
        <v>387</v>
      </c>
    </row>
    <row r="428" spans="1:17" ht="14.25">
      <c r="A428">
        <v>424</v>
      </c>
      <c r="B428" t="str">
        <f t="shared" si="74"/>
        <v>160706</v>
      </c>
      <c r="C428" t="str">
        <f t="shared" si="75"/>
        <v>gm. Otmuchów</v>
      </c>
      <c r="D428" t="str">
        <f t="shared" si="73"/>
        <v>nyski</v>
      </c>
      <c r="E428" t="str">
        <f t="shared" si="70"/>
        <v>opolskie</v>
      </c>
      <c r="F428">
        <v>4</v>
      </c>
      <c r="G428" t="str">
        <f>"Świetlica wiejska, Maciejowice 15, Maciejowice"</f>
        <v>Świetlica wiejska, Maciejowice 15, Maciejowice</v>
      </c>
      <c r="H428">
        <v>993</v>
      </c>
      <c r="I428">
        <v>880</v>
      </c>
      <c r="J428">
        <v>433</v>
      </c>
      <c r="K428">
        <v>0</v>
      </c>
      <c r="L428">
        <v>447</v>
      </c>
      <c r="M428">
        <v>433</v>
      </c>
      <c r="N428">
        <v>429</v>
      </c>
      <c r="O428">
        <v>4</v>
      </c>
      <c r="P428">
        <v>146</v>
      </c>
      <c r="Q428">
        <v>283</v>
      </c>
    </row>
    <row r="429" spans="1:17" ht="14.25">
      <c r="A429">
        <v>425</v>
      </c>
      <c r="B429" t="str">
        <f t="shared" si="74"/>
        <v>160706</v>
      </c>
      <c r="C429" t="str">
        <f t="shared" si="75"/>
        <v>gm. Otmuchów</v>
      </c>
      <c r="D429" t="str">
        <f t="shared" si="73"/>
        <v>nyski</v>
      </c>
      <c r="E429" t="str">
        <f t="shared" si="70"/>
        <v>opolskie</v>
      </c>
      <c r="F429">
        <v>5</v>
      </c>
      <c r="G429" t="str">
        <f>"Szkoła Podstawowa, Ligota Wielka 12, Ligota Wielka"</f>
        <v>Szkoła Podstawowa, Ligota Wielka 12, Ligota Wielka</v>
      </c>
      <c r="H429">
        <v>891</v>
      </c>
      <c r="I429">
        <v>800</v>
      </c>
      <c r="J429">
        <v>361</v>
      </c>
      <c r="K429">
        <v>0</v>
      </c>
      <c r="L429">
        <v>439</v>
      </c>
      <c r="M429">
        <v>361</v>
      </c>
      <c r="N429">
        <v>357</v>
      </c>
      <c r="O429">
        <v>4</v>
      </c>
      <c r="P429">
        <v>199</v>
      </c>
      <c r="Q429">
        <v>158</v>
      </c>
    </row>
    <row r="430" spans="1:17" ht="14.25">
      <c r="A430">
        <v>426</v>
      </c>
      <c r="B430" t="str">
        <f t="shared" si="74"/>
        <v>160706</v>
      </c>
      <c r="C430" t="str">
        <f t="shared" si="75"/>
        <v>gm. Otmuchów</v>
      </c>
      <c r="D430" t="str">
        <f t="shared" si="73"/>
        <v>nyski</v>
      </c>
      <c r="E430" t="str">
        <f t="shared" si="70"/>
        <v>opolskie</v>
      </c>
      <c r="F430">
        <v>6</v>
      </c>
      <c r="G430" t="str">
        <f>"Szkoła Podstawowa, Grądy 32, Grądy"</f>
        <v>Szkoła Podstawowa, Grądy 32, Grądy</v>
      </c>
      <c r="H430">
        <v>857</v>
      </c>
      <c r="I430">
        <v>800</v>
      </c>
      <c r="J430">
        <v>419</v>
      </c>
      <c r="K430">
        <v>1</v>
      </c>
      <c r="L430">
        <v>381</v>
      </c>
      <c r="M430">
        <v>419</v>
      </c>
      <c r="N430">
        <v>417</v>
      </c>
      <c r="O430">
        <v>2</v>
      </c>
      <c r="P430">
        <v>258</v>
      </c>
      <c r="Q430">
        <v>159</v>
      </c>
    </row>
    <row r="431" spans="1:17" ht="14.25">
      <c r="A431">
        <v>427</v>
      </c>
      <c r="B431" t="str">
        <f t="shared" si="74"/>
        <v>160706</v>
      </c>
      <c r="C431" t="str">
        <f t="shared" si="75"/>
        <v>gm. Otmuchów</v>
      </c>
      <c r="D431" t="str">
        <f t="shared" si="73"/>
        <v>nyski</v>
      </c>
      <c r="E431" t="str">
        <f t="shared" si="70"/>
        <v>opolskie</v>
      </c>
      <c r="F431">
        <v>7</v>
      </c>
      <c r="G431" t="str">
        <f>"Szkoła Podstawowa, Wójcice 126, Wójcice"</f>
        <v>Szkoła Podstawowa, Wójcice 126, Wójcice</v>
      </c>
      <c r="H431">
        <v>687</v>
      </c>
      <c r="I431">
        <v>725</v>
      </c>
      <c r="J431">
        <v>350</v>
      </c>
      <c r="K431">
        <v>0</v>
      </c>
      <c r="L431">
        <v>375</v>
      </c>
      <c r="M431">
        <v>350</v>
      </c>
      <c r="N431">
        <v>347</v>
      </c>
      <c r="O431">
        <v>3</v>
      </c>
      <c r="P431">
        <v>188</v>
      </c>
      <c r="Q431">
        <v>159</v>
      </c>
    </row>
    <row r="432" spans="1:17" ht="14.25">
      <c r="A432">
        <v>428</v>
      </c>
      <c r="B432" t="str">
        <f t="shared" si="74"/>
        <v>160706</v>
      </c>
      <c r="C432" t="str">
        <f t="shared" si="75"/>
        <v>gm. Otmuchów</v>
      </c>
      <c r="D432" t="str">
        <f t="shared" si="73"/>
        <v>nyski</v>
      </c>
      <c r="E432" t="str">
        <f t="shared" si="70"/>
        <v>opolskie</v>
      </c>
      <c r="F432">
        <v>8</v>
      </c>
      <c r="G432" t="str">
        <f>"Rolnicza Spółdzielnia Produkcyjna, Meszno 54, Meszno"</f>
        <v>Rolnicza Spółdzielnia Produkcyjna, Meszno 54, Meszno</v>
      </c>
      <c r="H432">
        <v>712</v>
      </c>
      <c r="I432">
        <v>720</v>
      </c>
      <c r="J432">
        <v>369</v>
      </c>
      <c r="K432">
        <v>0</v>
      </c>
      <c r="L432">
        <v>351</v>
      </c>
      <c r="M432">
        <v>369</v>
      </c>
      <c r="N432">
        <v>363</v>
      </c>
      <c r="O432">
        <v>6</v>
      </c>
      <c r="P432">
        <v>146</v>
      </c>
      <c r="Q432">
        <v>217</v>
      </c>
    </row>
    <row r="433" spans="1:17" ht="14.25">
      <c r="A433">
        <v>429</v>
      </c>
      <c r="B433" t="str">
        <f t="shared" si="74"/>
        <v>160706</v>
      </c>
      <c r="C433" t="str">
        <f t="shared" si="75"/>
        <v>gm. Otmuchów</v>
      </c>
      <c r="D433" t="str">
        <f t="shared" si="73"/>
        <v>nyski</v>
      </c>
      <c r="E433" t="str">
        <f t="shared" si="70"/>
        <v>opolskie</v>
      </c>
      <c r="F433">
        <v>9</v>
      </c>
      <c r="G433" t="str">
        <f>"Szkoła Podstawowa, Kałków 61, Kałków"</f>
        <v>Szkoła Podstawowa, Kałków 61, Kałków</v>
      </c>
      <c r="H433">
        <v>965</v>
      </c>
      <c r="I433">
        <v>878</v>
      </c>
      <c r="J433">
        <v>475</v>
      </c>
      <c r="K433">
        <v>0</v>
      </c>
      <c r="L433">
        <v>403</v>
      </c>
      <c r="M433">
        <v>475</v>
      </c>
      <c r="N433">
        <v>469</v>
      </c>
      <c r="O433">
        <v>6</v>
      </c>
      <c r="P433">
        <v>238</v>
      </c>
      <c r="Q433">
        <v>231</v>
      </c>
    </row>
    <row r="434" spans="1:17" ht="14.25">
      <c r="A434">
        <v>430</v>
      </c>
      <c r="B434" t="str">
        <f t="shared" si="74"/>
        <v>160706</v>
      </c>
      <c r="C434" t="str">
        <f t="shared" si="75"/>
        <v>gm. Otmuchów</v>
      </c>
      <c r="D434" t="str">
        <f t="shared" si="73"/>
        <v>nyski</v>
      </c>
      <c r="E434" t="str">
        <f t="shared" si="70"/>
        <v>opolskie</v>
      </c>
      <c r="F434">
        <v>10</v>
      </c>
      <c r="G434" t="str">
        <f>"Publiczne Przedszkole, Jasienica Górna 36, Jasienica Górna"</f>
        <v>Publiczne Przedszkole, Jasienica Górna 36, Jasienica Górna</v>
      </c>
      <c r="H434">
        <v>563</v>
      </c>
      <c r="I434">
        <v>580</v>
      </c>
      <c r="J434">
        <v>243</v>
      </c>
      <c r="K434">
        <v>0</v>
      </c>
      <c r="L434">
        <v>337</v>
      </c>
      <c r="M434">
        <v>243</v>
      </c>
      <c r="N434">
        <v>243</v>
      </c>
      <c r="O434">
        <v>0</v>
      </c>
      <c r="P434">
        <v>131</v>
      </c>
      <c r="Q434">
        <v>112</v>
      </c>
    </row>
    <row r="435" spans="1:17" ht="14.25">
      <c r="A435">
        <v>431</v>
      </c>
      <c r="B435" t="str">
        <f t="shared" si="74"/>
        <v>160706</v>
      </c>
      <c r="C435" t="str">
        <f t="shared" si="75"/>
        <v>gm. Otmuchów</v>
      </c>
      <c r="D435" t="str">
        <f t="shared" si="73"/>
        <v>nyski</v>
      </c>
      <c r="E435" t="str">
        <f t="shared" si="70"/>
        <v>opolskie</v>
      </c>
      <c r="F435">
        <v>11</v>
      </c>
      <c r="G435" t="str">
        <f>"Świetlica wiejska, Łąka 65 a, Łąka"</f>
        <v>Świetlica wiejska, Łąka 65 a, Łąka</v>
      </c>
      <c r="H435">
        <v>934</v>
      </c>
      <c r="I435">
        <v>880</v>
      </c>
      <c r="J435">
        <v>395</v>
      </c>
      <c r="K435">
        <v>0</v>
      </c>
      <c r="L435">
        <v>485</v>
      </c>
      <c r="M435">
        <v>395</v>
      </c>
      <c r="N435">
        <v>395</v>
      </c>
      <c r="O435">
        <v>0</v>
      </c>
      <c r="P435">
        <v>251</v>
      </c>
      <c r="Q435">
        <v>144</v>
      </c>
    </row>
    <row r="436" spans="1:17" ht="14.25">
      <c r="A436">
        <v>432</v>
      </c>
      <c r="B436" t="str">
        <f t="shared" si="74"/>
        <v>160706</v>
      </c>
      <c r="C436" t="str">
        <f t="shared" si="75"/>
        <v>gm. Otmuchów</v>
      </c>
      <c r="D436" t="str">
        <f t="shared" si="73"/>
        <v>nyski</v>
      </c>
      <c r="E436" t="str">
        <f t="shared" si="70"/>
        <v>opolskie</v>
      </c>
      <c r="F436">
        <v>12</v>
      </c>
      <c r="G436" t="str">
        <f>"Szkoła Podstawowa, Jarnołtów 88, Jarnołtów"</f>
        <v>Szkoła Podstawowa, Jarnołtów 88, Jarnołtów</v>
      </c>
      <c r="H436">
        <v>798</v>
      </c>
      <c r="I436">
        <v>720</v>
      </c>
      <c r="J436">
        <v>362</v>
      </c>
      <c r="K436">
        <v>0</v>
      </c>
      <c r="L436">
        <v>358</v>
      </c>
      <c r="M436">
        <v>362</v>
      </c>
      <c r="N436">
        <v>354</v>
      </c>
      <c r="O436">
        <v>8</v>
      </c>
      <c r="P436">
        <v>179</v>
      </c>
      <c r="Q436">
        <v>175</v>
      </c>
    </row>
    <row r="437" spans="1:17" ht="14.25">
      <c r="A437">
        <v>433</v>
      </c>
      <c r="B437" t="str">
        <f aca="true" t="shared" si="76" ref="B437:B449">"160707"</f>
        <v>160707</v>
      </c>
      <c r="C437" t="str">
        <f aca="true" t="shared" si="77" ref="C437:C449">"gm. Paczków"</f>
        <v>gm. Paczków</v>
      </c>
      <c r="D437" t="str">
        <f t="shared" si="73"/>
        <v>nyski</v>
      </c>
      <c r="E437" t="str">
        <f t="shared" si="70"/>
        <v>opolskie</v>
      </c>
      <c r="F437">
        <v>1</v>
      </c>
      <c r="G437" t="str">
        <f>"Przedszkole Publiczne Nr 3, ul. Młyńska 23, Paczków"</f>
        <v>Przedszkole Publiczne Nr 3, ul. Młyńska 23, Paczków</v>
      </c>
      <c r="H437">
        <v>1135</v>
      </c>
      <c r="I437">
        <v>1040</v>
      </c>
      <c r="J437">
        <v>552</v>
      </c>
      <c r="K437">
        <v>0</v>
      </c>
      <c r="L437">
        <v>488</v>
      </c>
      <c r="M437">
        <v>552</v>
      </c>
      <c r="N437">
        <v>548</v>
      </c>
      <c r="O437">
        <v>4</v>
      </c>
      <c r="P437">
        <v>227</v>
      </c>
      <c r="Q437">
        <v>321</v>
      </c>
    </row>
    <row r="438" spans="1:17" ht="14.25">
      <c r="A438">
        <v>434</v>
      </c>
      <c r="B438" t="str">
        <f t="shared" si="76"/>
        <v>160707</v>
      </c>
      <c r="C438" t="str">
        <f t="shared" si="77"/>
        <v>gm. Paczków</v>
      </c>
      <c r="D438" t="str">
        <f t="shared" si="73"/>
        <v>nyski</v>
      </c>
      <c r="E438" t="str">
        <f t="shared" si="70"/>
        <v>opolskie</v>
      </c>
      <c r="F438">
        <v>2</v>
      </c>
      <c r="G438" t="str">
        <f>"Zespół Szkół, ul. Kołłątaja 9, Paczków"</f>
        <v>Zespół Szkół, ul. Kołłątaja 9, Paczków</v>
      </c>
      <c r="H438">
        <v>1873</v>
      </c>
      <c r="I438">
        <v>1680</v>
      </c>
      <c r="J438">
        <v>821</v>
      </c>
      <c r="K438">
        <v>0</v>
      </c>
      <c r="L438">
        <v>859</v>
      </c>
      <c r="M438">
        <v>821</v>
      </c>
      <c r="N438">
        <v>811</v>
      </c>
      <c r="O438">
        <v>10</v>
      </c>
      <c r="P438">
        <v>357</v>
      </c>
      <c r="Q438">
        <v>454</v>
      </c>
    </row>
    <row r="439" spans="1:17" ht="14.25">
      <c r="A439">
        <v>435</v>
      </c>
      <c r="B439" t="str">
        <f t="shared" si="76"/>
        <v>160707</v>
      </c>
      <c r="C439" t="str">
        <f t="shared" si="77"/>
        <v>gm. Paczków</v>
      </c>
      <c r="D439" t="str">
        <f aca="true" t="shared" si="78" ref="D439:D458">"nyski"</f>
        <v>nyski</v>
      </c>
      <c r="E439" t="str">
        <f t="shared" si="70"/>
        <v>opolskie</v>
      </c>
      <c r="F439">
        <v>3</v>
      </c>
      <c r="G439" t="str">
        <f>"Dom Plastyka, ul. Rynek 20, Paczków"</f>
        <v>Dom Plastyka, ul. Rynek 20, Paczków</v>
      </c>
      <c r="H439">
        <v>1497</v>
      </c>
      <c r="I439">
        <v>1384</v>
      </c>
      <c r="J439">
        <v>662</v>
      </c>
      <c r="K439">
        <v>0</v>
      </c>
      <c r="L439">
        <v>722</v>
      </c>
      <c r="M439">
        <v>662</v>
      </c>
      <c r="N439">
        <v>655</v>
      </c>
      <c r="O439">
        <v>7</v>
      </c>
      <c r="P439">
        <v>297</v>
      </c>
      <c r="Q439">
        <v>358</v>
      </c>
    </row>
    <row r="440" spans="1:17" ht="14.25">
      <c r="A440">
        <v>436</v>
      </c>
      <c r="B440" t="str">
        <f t="shared" si="76"/>
        <v>160707</v>
      </c>
      <c r="C440" t="str">
        <f t="shared" si="77"/>
        <v>gm. Paczków</v>
      </c>
      <c r="D440" t="str">
        <f t="shared" si="78"/>
        <v>nyski</v>
      </c>
      <c r="E440" t="str">
        <f t="shared" si="70"/>
        <v>opolskie</v>
      </c>
      <c r="F440">
        <v>4</v>
      </c>
      <c r="G440" t="str">
        <f>"Przedszkole Publiczne Nr 2, ul. Wojska Polskiego 43, Paczków"</f>
        <v>Przedszkole Publiczne Nr 2, ul. Wojska Polskiego 43, Paczków</v>
      </c>
      <c r="H440">
        <v>2074</v>
      </c>
      <c r="I440">
        <v>1920</v>
      </c>
      <c r="J440">
        <v>1053</v>
      </c>
      <c r="K440">
        <v>0</v>
      </c>
      <c r="L440">
        <v>867</v>
      </c>
      <c r="M440">
        <v>1051</v>
      </c>
      <c r="N440">
        <v>1042</v>
      </c>
      <c r="O440">
        <v>9</v>
      </c>
      <c r="P440">
        <v>423</v>
      </c>
      <c r="Q440">
        <v>619</v>
      </c>
    </row>
    <row r="441" spans="1:17" ht="14.25">
      <c r="A441">
        <v>437</v>
      </c>
      <c r="B441" t="str">
        <f t="shared" si="76"/>
        <v>160707</v>
      </c>
      <c r="C441" t="str">
        <f t="shared" si="77"/>
        <v>gm. Paczków</v>
      </c>
      <c r="D441" t="str">
        <f t="shared" si="78"/>
        <v>nyski</v>
      </c>
      <c r="E441" t="str">
        <f t="shared" si="70"/>
        <v>opolskie</v>
      </c>
      <c r="F441">
        <v>5</v>
      </c>
      <c r="G441" t="str">
        <f>"Przedszkole Publiczne, Dziewiętlice 78, Dziewiętlice"</f>
        <v>Przedszkole Publiczne, Dziewiętlice 78, Dziewiętlice</v>
      </c>
      <c r="H441">
        <v>428</v>
      </c>
      <c r="I441">
        <v>475</v>
      </c>
      <c r="J441">
        <v>218</v>
      </c>
      <c r="K441">
        <v>0</v>
      </c>
      <c r="L441">
        <v>257</v>
      </c>
      <c r="M441">
        <v>218</v>
      </c>
      <c r="N441">
        <v>217</v>
      </c>
      <c r="O441">
        <v>1</v>
      </c>
      <c r="P441">
        <v>122</v>
      </c>
      <c r="Q441">
        <v>95</v>
      </c>
    </row>
    <row r="442" spans="1:17" ht="14.25">
      <c r="A442">
        <v>438</v>
      </c>
      <c r="B442" t="str">
        <f t="shared" si="76"/>
        <v>160707</v>
      </c>
      <c r="C442" t="str">
        <f t="shared" si="77"/>
        <v>gm. Paczków</v>
      </c>
      <c r="D442" t="str">
        <f t="shared" si="78"/>
        <v>nyski</v>
      </c>
      <c r="E442" t="str">
        <f t="shared" si="70"/>
        <v>opolskie</v>
      </c>
      <c r="F442">
        <v>6</v>
      </c>
      <c r="G442" t="str">
        <f>"Przedszkole Publiczne, Gościce 37, Gościce"</f>
        <v>Przedszkole Publiczne, Gościce 37, Gościce</v>
      </c>
      <c r="H442">
        <v>368</v>
      </c>
      <c r="I442">
        <v>400</v>
      </c>
      <c r="J442">
        <v>194</v>
      </c>
      <c r="K442">
        <v>0</v>
      </c>
      <c r="L442">
        <v>206</v>
      </c>
      <c r="M442">
        <v>194</v>
      </c>
      <c r="N442">
        <v>192</v>
      </c>
      <c r="O442">
        <v>2</v>
      </c>
      <c r="P442">
        <v>87</v>
      </c>
      <c r="Q442">
        <v>105</v>
      </c>
    </row>
    <row r="443" spans="1:17" ht="14.25">
      <c r="A443">
        <v>439</v>
      </c>
      <c r="B443" t="str">
        <f t="shared" si="76"/>
        <v>160707</v>
      </c>
      <c r="C443" t="str">
        <f t="shared" si="77"/>
        <v>gm. Paczków</v>
      </c>
      <c r="D443" t="str">
        <f t="shared" si="78"/>
        <v>nyski</v>
      </c>
      <c r="E443" t="str">
        <f t="shared" si="70"/>
        <v>opolskie</v>
      </c>
      <c r="F443">
        <v>7</v>
      </c>
      <c r="G443" t="str">
        <f>"Publiczna Szkoła Podstawowa z Oddziałem Przedszkolnym, Kamienica 94, Kamienica"</f>
        <v>Publiczna Szkoła Podstawowa z Oddziałem Przedszkolnym, Kamienica 94, Kamienica</v>
      </c>
      <c r="H443">
        <v>1009</v>
      </c>
      <c r="I443">
        <v>961</v>
      </c>
      <c r="J443">
        <v>474</v>
      </c>
      <c r="K443">
        <v>0</v>
      </c>
      <c r="L443">
        <v>487</v>
      </c>
      <c r="M443">
        <v>474</v>
      </c>
      <c r="N443">
        <v>467</v>
      </c>
      <c r="O443">
        <v>7</v>
      </c>
      <c r="P443">
        <v>274</v>
      </c>
      <c r="Q443">
        <v>193</v>
      </c>
    </row>
    <row r="444" spans="1:17" ht="14.25">
      <c r="A444">
        <v>440</v>
      </c>
      <c r="B444" t="str">
        <f t="shared" si="76"/>
        <v>160707</v>
      </c>
      <c r="C444" t="str">
        <f t="shared" si="77"/>
        <v>gm. Paczków</v>
      </c>
      <c r="D444" t="str">
        <f t="shared" si="78"/>
        <v>nyski</v>
      </c>
      <c r="E444" t="str">
        <f t="shared" si="70"/>
        <v>opolskie</v>
      </c>
      <c r="F444">
        <v>8</v>
      </c>
      <c r="G444" t="str">
        <f>"Przedszkole Publiczne, Stary Paczków 108a, Stary Paczków"</f>
        <v>Przedszkole Publiczne, Stary Paczków 108a, Stary Paczków</v>
      </c>
      <c r="H444">
        <v>680</v>
      </c>
      <c r="I444">
        <v>720</v>
      </c>
      <c r="J444">
        <v>295</v>
      </c>
      <c r="K444">
        <v>0</v>
      </c>
      <c r="L444">
        <v>425</v>
      </c>
      <c r="M444">
        <v>295</v>
      </c>
      <c r="N444">
        <v>291</v>
      </c>
      <c r="O444">
        <v>4</v>
      </c>
      <c r="P444">
        <v>145</v>
      </c>
      <c r="Q444">
        <v>146</v>
      </c>
    </row>
    <row r="445" spans="1:17" ht="14.25">
      <c r="A445">
        <v>441</v>
      </c>
      <c r="B445" t="str">
        <f t="shared" si="76"/>
        <v>160707</v>
      </c>
      <c r="C445" t="str">
        <f t="shared" si="77"/>
        <v>gm. Paczków</v>
      </c>
      <c r="D445" t="str">
        <f t="shared" si="78"/>
        <v>nyski</v>
      </c>
      <c r="E445" t="str">
        <f t="shared" si="70"/>
        <v>opolskie</v>
      </c>
      <c r="F445">
        <v>9</v>
      </c>
      <c r="G445" t="str">
        <f>"Wiejski Dom Kultury, Trzeboszowice 11, Trzeboszowice"</f>
        <v>Wiejski Dom Kultury, Trzeboszowice 11, Trzeboszowice</v>
      </c>
      <c r="H445">
        <v>876</v>
      </c>
      <c r="I445">
        <v>800</v>
      </c>
      <c r="J445">
        <v>435</v>
      </c>
      <c r="K445">
        <v>0</v>
      </c>
      <c r="L445">
        <v>365</v>
      </c>
      <c r="M445">
        <v>435</v>
      </c>
      <c r="N445">
        <v>431</v>
      </c>
      <c r="O445">
        <v>4</v>
      </c>
      <c r="P445">
        <v>205</v>
      </c>
      <c r="Q445">
        <v>226</v>
      </c>
    </row>
    <row r="446" spans="1:17" ht="14.25">
      <c r="A446">
        <v>442</v>
      </c>
      <c r="B446" t="str">
        <f t="shared" si="76"/>
        <v>160707</v>
      </c>
      <c r="C446" t="str">
        <f t="shared" si="77"/>
        <v>gm. Paczków</v>
      </c>
      <c r="D446" t="str">
        <f t="shared" si="78"/>
        <v>nyski</v>
      </c>
      <c r="E446" t="str">
        <f t="shared" si="70"/>
        <v>opolskie</v>
      </c>
      <c r="F446">
        <v>10</v>
      </c>
      <c r="G446" t="str">
        <f>"Świetlica Wiejska, Ujeździec 52a, Ujeździec"</f>
        <v>Świetlica Wiejska, Ujeździec 52a, Ujeździec</v>
      </c>
      <c r="H446">
        <v>353</v>
      </c>
      <c r="I446">
        <v>400</v>
      </c>
      <c r="J446">
        <v>189</v>
      </c>
      <c r="K446">
        <v>0</v>
      </c>
      <c r="L446">
        <v>211</v>
      </c>
      <c r="M446">
        <v>189</v>
      </c>
      <c r="N446">
        <v>185</v>
      </c>
      <c r="O446">
        <v>4</v>
      </c>
      <c r="P446">
        <v>89</v>
      </c>
      <c r="Q446">
        <v>96</v>
      </c>
    </row>
    <row r="447" spans="1:17" ht="14.25">
      <c r="A447">
        <v>443</v>
      </c>
      <c r="B447" t="str">
        <f t="shared" si="76"/>
        <v>160707</v>
      </c>
      <c r="C447" t="str">
        <f t="shared" si="77"/>
        <v>gm. Paczków</v>
      </c>
      <c r="D447" t="str">
        <f t="shared" si="78"/>
        <v>nyski</v>
      </c>
      <c r="E447" t="str">
        <f t="shared" si="70"/>
        <v>opolskie</v>
      </c>
      <c r="F447">
        <v>11</v>
      </c>
      <c r="G447" t="str">
        <f>"Przedszkole Publiczne, Unikowice 21, Unikowice"</f>
        <v>Przedszkole Publiczne, Unikowice 21, Unikowice</v>
      </c>
      <c r="H447">
        <v>358</v>
      </c>
      <c r="I447">
        <v>400</v>
      </c>
      <c r="J447">
        <v>152</v>
      </c>
      <c r="K447">
        <v>0</v>
      </c>
      <c r="L447">
        <v>248</v>
      </c>
      <c r="M447">
        <v>152</v>
      </c>
      <c r="N447">
        <v>152</v>
      </c>
      <c r="O447">
        <v>0</v>
      </c>
      <c r="P447">
        <v>59</v>
      </c>
      <c r="Q447">
        <v>93</v>
      </c>
    </row>
    <row r="448" spans="1:17" ht="14.25">
      <c r="A448">
        <v>444</v>
      </c>
      <c r="B448" t="str">
        <f t="shared" si="76"/>
        <v>160707</v>
      </c>
      <c r="C448" t="str">
        <f t="shared" si="77"/>
        <v>gm. Paczków</v>
      </c>
      <c r="D448" t="str">
        <f t="shared" si="78"/>
        <v>nyski</v>
      </c>
      <c r="E448" t="str">
        <f t="shared" si="70"/>
        <v>opolskie</v>
      </c>
      <c r="F448">
        <v>12</v>
      </c>
      <c r="G448" t="str">
        <f>"Świetlica Wiejsko - Środowiskowa, Kozielno 38, Kozielno"</f>
        <v>Świetlica Wiejsko - Środowiskowa, Kozielno 38, Kozielno</v>
      </c>
      <c r="H448">
        <v>268</v>
      </c>
      <c r="I448">
        <v>320</v>
      </c>
      <c r="J448">
        <v>100</v>
      </c>
      <c r="K448">
        <v>0</v>
      </c>
      <c r="L448">
        <v>220</v>
      </c>
      <c r="M448">
        <v>100</v>
      </c>
      <c r="N448">
        <v>96</v>
      </c>
      <c r="O448">
        <v>4</v>
      </c>
      <c r="P448">
        <v>36</v>
      </c>
      <c r="Q448">
        <v>60</v>
      </c>
    </row>
    <row r="449" spans="1:17" ht="14.25">
      <c r="A449">
        <v>445</v>
      </c>
      <c r="B449" t="str">
        <f t="shared" si="76"/>
        <v>160707</v>
      </c>
      <c r="C449" t="str">
        <f t="shared" si="77"/>
        <v>gm. Paczków</v>
      </c>
      <c r="D449" t="str">
        <f t="shared" si="78"/>
        <v>nyski</v>
      </c>
      <c r="E449" t="str">
        <f t="shared" si="70"/>
        <v>opolskie</v>
      </c>
      <c r="F449">
        <v>13</v>
      </c>
      <c r="G449" t="str">
        <f>"Szpital, ul. Staszica 3, Paczków"</f>
        <v>Szpital, ul. Staszica 3, Paczków</v>
      </c>
      <c r="H449">
        <v>57</v>
      </c>
      <c r="I449">
        <v>98</v>
      </c>
      <c r="J449">
        <v>17</v>
      </c>
      <c r="K449">
        <v>0</v>
      </c>
      <c r="L449">
        <v>81</v>
      </c>
      <c r="M449">
        <v>17</v>
      </c>
      <c r="N449">
        <v>16</v>
      </c>
      <c r="O449">
        <v>1</v>
      </c>
      <c r="P449">
        <v>10</v>
      </c>
      <c r="Q449">
        <v>6</v>
      </c>
    </row>
    <row r="450" spans="1:17" ht="14.25">
      <c r="A450">
        <v>446</v>
      </c>
      <c r="B450" t="str">
        <f>"160708"</f>
        <v>160708</v>
      </c>
      <c r="C450" t="str">
        <f>"gm. Pakosławice"</f>
        <v>gm. Pakosławice</v>
      </c>
      <c r="D450" t="str">
        <f t="shared" si="78"/>
        <v>nyski</v>
      </c>
      <c r="E450" t="str">
        <f t="shared" si="70"/>
        <v>opolskie</v>
      </c>
      <c r="F450">
        <v>1</v>
      </c>
      <c r="G450" t="str">
        <f>"Gminna Biblioteka Publiczna, Pakosławice 38, Pakosławice"</f>
        <v>Gminna Biblioteka Publiczna, Pakosławice 38, Pakosławice</v>
      </c>
      <c r="H450">
        <v>878</v>
      </c>
      <c r="I450">
        <v>800</v>
      </c>
      <c r="J450">
        <v>510</v>
      </c>
      <c r="K450">
        <v>1</v>
      </c>
      <c r="L450">
        <v>290</v>
      </c>
      <c r="M450">
        <v>510</v>
      </c>
      <c r="N450">
        <v>499</v>
      </c>
      <c r="O450">
        <v>11</v>
      </c>
      <c r="P450">
        <v>319</v>
      </c>
      <c r="Q450">
        <v>180</v>
      </c>
    </row>
    <row r="451" spans="1:17" ht="14.25">
      <c r="A451">
        <v>447</v>
      </c>
      <c r="B451" t="str">
        <f>"160708"</f>
        <v>160708</v>
      </c>
      <c r="C451" t="str">
        <f>"gm. Pakosławice"</f>
        <v>gm. Pakosławice</v>
      </c>
      <c r="D451" t="str">
        <f t="shared" si="78"/>
        <v>nyski</v>
      </c>
      <c r="E451" t="str">
        <f t="shared" si="70"/>
        <v>opolskie</v>
      </c>
      <c r="F451">
        <v>2</v>
      </c>
      <c r="G451" t="str">
        <f>"Zespół Szkół, Biechów 17, Biechów"</f>
        <v>Zespół Szkół, Biechów 17, Biechów</v>
      </c>
      <c r="H451">
        <v>519</v>
      </c>
      <c r="I451">
        <v>560</v>
      </c>
      <c r="J451">
        <v>210</v>
      </c>
      <c r="K451">
        <v>0</v>
      </c>
      <c r="L451">
        <v>350</v>
      </c>
      <c r="M451">
        <v>210</v>
      </c>
      <c r="N451">
        <v>209</v>
      </c>
      <c r="O451">
        <v>1</v>
      </c>
      <c r="P451">
        <v>139</v>
      </c>
      <c r="Q451">
        <v>70</v>
      </c>
    </row>
    <row r="452" spans="1:17" ht="14.25">
      <c r="A452">
        <v>448</v>
      </c>
      <c r="B452" t="str">
        <f>"160708"</f>
        <v>160708</v>
      </c>
      <c r="C452" t="str">
        <f>"gm. Pakosławice"</f>
        <v>gm. Pakosławice</v>
      </c>
      <c r="D452" t="str">
        <f t="shared" si="78"/>
        <v>nyski</v>
      </c>
      <c r="E452" t="str">
        <f t="shared" si="70"/>
        <v>opolskie</v>
      </c>
      <c r="F452">
        <v>3</v>
      </c>
      <c r="G452" t="str">
        <f>"Świetlica, Frączków 1 B, Frączków"</f>
        <v>Świetlica, Frączków 1 B, Frączków</v>
      </c>
      <c r="H452">
        <v>747</v>
      </c>
      <c r="I452">
        <v>720</v>
      </c>
      <c r="J452">
        <v>320</v>
      </c>
      <c r="K452">
        <v>0</v>
      </c>
      <c r="L452">
        <v>400</v>
      </c>
      <c r="M452">
        <v>319</v>
      </c>
      <c r="N452">
        <v>312</v>
      </c>
      <c r="O452">
        <v>7</v>
      </c>
      <c r="P452">
        <v>179</v>
      </c>
      <c r="Q452">
        <v>133</v>
      </c>
    </row>
    <row r="453" spans="1:17" ht="14.25">
      <c r="A453">
        <v>449</v>
      </c>
      <c r="B453" t="str">
        <f>"160708"</f>
        <v>160708</v>
      </c>
      <c r="C453" t="str">
        <f>"gm. Pakosławice"</f>
        <v>gm. Pakosławice</v>
      </c>
      <c r="D453" t="str">
        <f t="shared" si="78"/>
        <v>nyski</v>
      </c>
      <c r="E453" t="str">
        <f aca="true" t="shared" si="79" ref="E453:E516">"opolskie"</f>
        <v>opolskie</v>
      </c>
      <c r="F453">
        <v>4</v>
      </c>
      <c r="G453" t="str">
        <f>"Szkoła Podstawowa, ul.Szkolna 9, Prusinowice"</f>
        <v>Szkoła Podstawowa, ul.Szkolna 9, Prusinowice</v>
      </c>
      <c r="H453">
        <v>576</v>
      </c>
      <c r="I453">
        <v>560</v>
      </c>
      <c r="J453">
        <v>266</v>
      </c>
      <c r="K453">
        <v>0</v>
      </c>
      <c r="L453">
        <v>294</v>
      </c>
      <c r="M453">
        <v>266</v>
      </c>
      <c r="N453">
        <v>264</v>
      </c>
      <c r="O453">
        <v>2</v>
      </c>
      <c r="P453">
        <v>138</v>
      </c>
      <c r="Q453">
        <v>126</v>
      </c>
    </row>
    <row r="454" spans="1:17" ht="14.25">
      <c r="A454">
        <v>450</v>
      </c>
      <c r="B454" t="str">
        <f>"160708"</f>
        <v>160708</v>
      </c>
      <c r="C454" t="str">
        <f>"gm. Pakosławice"</f>
        <v>gm. Pakosławice</v>
      </c>
      <c r="D454" t="str">
        <f t="shared" si="78"/>
        <v>nyski</v>
      </c>
      <c r="E454" t="str">
        <f t="shared" si="79"/>
        <v>opolskie</v>
      </c>
      <c r="F454">
        <v>5</v>
      </c>
      <c r="G454" t="str">
        <f>"Szkoła Podstawowa, Nowaki 45, Nowaki"</f>
        <v>Szkoła Podstawowa, Nowaki 45, Nowaki</v>
      </c>
      <c r="H454">
        <v>307</v>
      </c>
      <c r="I454">
        <v>320</v>
      </c>
      <c r="J454">
        <v>156</v>
      </c>
      <c r="K454">
        <v>0</v>
      </c>
      <c r="L454">
        <v>164</v>
      </c>
      <c r="M454">
        <v>156</v>
      </c>
      <c r="N454">
        <v>156</v>
      </c>
      <c r="O454">
        <v>0</v>
      </c>
      <c r="P454">
        <v>97</v>
      </c>
      <c r="Q454">
        <v>59</v>
      </c>
    </row>
    <row r="455" spans="1:17" ht="14.25">
      <c r="A455">
        <v>451</v>
      </c>
      <c r="B455" t="str">
        <f>"160709"</f>
        <v>160709</v>
      </c>
      <c r="C455" t="str">
        <f>"gm. Skoroszyce"</f>
        <v>gm. Skoroszyce</v>
      </c>
      <c r="D455" t="str">
        <f t="shared" si="78"/>
        <v>nyski</v>
      </c>
      <c r="E455" t="str">
        <f t="shared" si="79"/>
        <v>opolskie</v>
      </c>
      <c r="F455">
        <v>1</v>
      </c>
      <c r="G455" t="str">
        <f>"Szkoła Podstawowa, ul. Braterstwa Broni nr 9, Skoroszyce"</f>
        <v>Szkoła Podstawowa, ul. Braterstwa Broni nr 9, Skoroszyce</v>
      </c>
      <c r="H455">
        <v>1908</v>
      </c>
      <c r="I455">
        <v>1759</v>
      </c>
      <c r="J455">
        <v>799</v>
      </c>
      <c r="K455">
        <v>0</v>
      </c>
      <c r="L455">
        <v>960</v>
      </c>
      <c r="M455">
        <v>799</v>
      </c>
      <c r="N455">
        <v>797</v>
      </c>
      <c r="O455">
        <v>2</v>
      </c>
      <c r="P455">
        <v>491</v>
      </c>
      <c r="Q455">
        <v>306</v>
      </c>
    </row>
    <row r="456" spans="1:17" ht="14.25">
      <c r="A456">
        <v>452</v>
      </c>
      <c r="B456" t="str">
        <f>"160709"</f>
        <v>160709</v>
      </c>
      <c r="C456" t="str">
        <f>"gm. Skoroszyce"</f>
        <v>gm. Skoroszyce</v>
      </c>
      <c r="D456" t="str">
        <f t="shared" si="78"/>
        <v>nyski</v>
      </c>
      <c r="E456" t="str">
        <f t="shared" si="79"/>
        <v>opolskie</v>
      </c>
      <c r="F456">
        <v>2</v>
      </c>
      <c r="G456" t="str">
        <f>"Szkoła Podstawowa, ul. Szkolna 1, Chróścina"</f>
        <v>Szkoła Podstawowa, ul. Szkolna 1, Chróścina</v>
      </c>
      <c r="H456">
        <v>1746</v>
      </c>
      <c r="I456">
        <v>1599</v>
      </c>
      <c r="J456">
        <v>710</v>
      </c>
      <c r="K456">
        <v>0</v>
      </c>
      <c r="L456">
        <v>889</v>
      </c>
      <c r="M456">
        <v>710</v>
      </c>
      <c r="N456">
        <v>704</v>
      </c>
      <c r="O456">
        <v>6</v>
      </c>
      <c r="P456">
        <v>276</v>
      </c>
      <c r="Q456">
        <v>428</v>
      </c>
    </row>
    <row r="457" spans="1:17" ht="14.25">
      <c r="A457">
        <v>453</v>
      </c>
      <c r="B457" t="str">
        <f>"160709"</f>
        <v>160709</v>
      </c>
      <c r="C457" t="str">
        <f>"gm. Skoroszyce"</f>
        <v>gm. Skoroszyce</v>
      </c>
      <c r="D457" t="str">
        <f t="shared" si="78"/>
        <v>nyski</v>
      </c>
      <c r="E457" t="str">
        <f t="shared" si="79"/>
        <v>opolskie</v>
      </c>
      <c r="F457">
        <v>3</v>
      </c>
      <c r="G457" t="str">
        <f>"Szkoła Podstawowa, ul. Radziechowska 3, Sidzinia"</f>
        <v>Szkoła Podstawowa, ul. Radziechowska 3, Sidzinia</v>
      </c>
      <c r="H457">
        <v>977</v>
      </c>
      <c r="I457">
        <v>880</v>
      </c>
      <c r="J457">
        <v>455</v>
      </c>
      <c r="K457">
        <v>0</v>
      </c>
      <c r="L457">
        <v>425</v>
      </c>
      <c r="M457">
        <v>455</v>
      </c>
      <c r="N457">
        <v>444</v>
      </c>
      <c r="O457">
        <v>11</v>
      </c>
      <c r="P457">
        <v>267</v>
      </c>
      <c r="Q457">
        <v>177</v>
      </c>
    </row>
    <row r="458" spans="1:17" ht="14.25">
      <c r="A458">
        <v>454</v>
      </c>
      <c r="B458" t="str">
        <f>"160709"</f>
        <v>160709</v>
      </c>
      <c r="C458" t="str">
        <f>"gm. Skoroszyce"</f>
        <v>gm. Skoroszyce</v>
      </c>
      <c r="D458" t="str">
        <f t="shared" si="78"/>
        <v>nyski</v>
      </c>
      <c r="E458" t="str">
        <f t="shared" si="79"/>
        <v>opolskie</v>
      </c>
      <c r="F458">
        <v>4</v>
      </c>
      <c r="G458" t="str">
        <f>"Szkoła Podstawowa, Makowice 61, Makowice"</f>
        <v>Szkoła Podstawowa, Makowice 61, Makowice</v>
      </c>
      <c r="H458">
        <v>478</v>
      </c>
      <c r="I458">
        <v>477</v>
      </c>
      <c r="J458">
        <v>188</v>
      </c>
      <c r="K458">
        <v>0</v>
      </c>
      <c r="L458">
        <v>289</v>
      </c>
      <c r="M458">
        <v>188</v>
      </c>
      <c r="N458">
        <v>185</v>
      </c>
      <c r="O458">
        <v>3</v>
      </c>
      <c r="P458">
        <v>105</v>
      </c>
      <c r="Q458">
        <v>80</v>
      </c>
    </row>
    <row r="459" spans="1:17" ht="14.25">
      <c r="A459">
        <v>455</v>
      </c>
      <c r="B459" t="str">
        <f aca="true" t="shared" si="80" ref="B459:B464">"160801"</f>
        <v>160801</v>
      </c>
      <c r="C459" t="str">
        <f aca="true" t="shared" si="81" ref="C459:C464">"gm. Dobrodzień"</f>
        <v>gm. Dobrodzień</v>
      </c>
      <c r="D459" t="str">
        <f aca="true" t="shared" si="82" ref="D459:D490">"oleski"</f>
        <v>oleski</v>
      </c>
      <c r="E459" t="str">
        <f t="shared" si="79"/>
        <v>opolskie</v>
      </c>
      <c r="F459">
        <v>1</v>
      </c>
      <c r="G459" t="str">
        <f>"Zespół Szkół Ponadgimnazjalnych, ul. Oleska 7, Dobrodzień"</f>
        <v>Zespół Szkół Ponadgimnazjalnych, ul. Oleska 7, Dobrodzień</v>
      </c>
      <c r="H459">
        <v>1954</v>
      </c>
      <c r="I459">
        <v>1840</v>
      </c>
      <c r="J459">
        <v>765</v>
      </c>
      <c r="K459">
        <v>1</v>
      </c>
      <c r="L459">
        <v>1075</v>
      </c>
      <c r="M459">
        <v>765</v>
      </c>
      <c r="N459">
        <v>763</v>
      </c>
      <c r="O459">
        <v>2</v>
      </c>
      <c r="P459">
        <v>197</v>
      </c>
      <c r="Q459">
        <v>566</v>
      </c>
    </row>
    <row r="460" spans="1:17" ht="14.25">
      <c r="A460">
        <v>456</v>
      </c>
      <c r="B460" t="str">
        <f t="shared" si="80"/>
        <v>160801</v>
      </c>
      <c r="C460" t="str">
        <f t="shared" si="81"/>
        <v>gm. Dobrodzień</v>
      </c>
      <c r="D460" t="str">
        <f t="shared" si="82"/>
        <v>oleski</v>
      </c>
      <c r="E460" t="str">
        <f t="shared" si="79"/>
        <v>opolskie</v>
      </c>
      <c r="F460">
        <v>2</v>
      </c>
      <c r="G460" t="str">
        <f>"Publiczne Gimnazjum, ul. Piastowska 17, Dobrodzień"</f>
        <v>Publiczne Gimnazjum, ul. Piastowska 17, Dobrodzień</v>
      </c>
      <c r="H460">
        <v>2148</v>
      </c>
      <c r="I460">
        <v>2000</v>
      </c>
      <c r="J460">
        <v>814</v>
      </c>
      <c r="K460">
        <v>0</v>
      </c>
      <c r="L460">
        <v>1186</v>
      </c>
      <c r="M460">
        <v>814</v>
      </c>
      <c r="N460">
        <v>802</v>
      </c>
      <c r="O460">
        <v>12</v>
      </c>
      <c r="P460">
        <v>160</v>
      </c>
      <c r="Q460">
        <v>642</v>
      </c>
    </row>
    <row r="461" spans="1:17" ht="14.25">
      <c r="A461">
        <v>457</v>
      </c>
      <c r="B461" t="str">
        <f t="shared" si="80"/>
        <v>160801</v>
      </c>
      <c r="C461" t="str">
        <f t="shared" si="81"/>
        <v>gm. Dobrodzień</v>
      </c>
      <c r="D461" t="str">
        <f t="shared" si="82"/>
        <v>oleski</v>
      </c>
      <c r="E461" t="str">
        <f t="shared" si="79"/>
        <v>opolskie</v>
      </c>
      <c r="F461">
        <v>3</v>
      </c>
      <c r="G461" t="str">
        <f>"Publiczna Szkoła Podstawowa, ul. Kolejowa 27, Turza"</f>
        <v>Publiczna Szkoła Podstawowa, ul. Kolejowa 27, Turza</v>
      </c>
      <c r="H461">
        <v>977</v>
      </c>
      <c r="I461">
        <v>880</v>
      </c>
      <c r="J461">
        <v>286</v>
      </c>
      <c r="K461">
        <v>0</v>
      </c>
      <c r="L461">
        <v>594</v>
      </c>
      <c r="M461">
        <v>286</v>
      </c>
      <c r="N461">
        <v>279</v>
      </c>
      <c r="O461">
        <v>7</v>
      </c>
      <c r="P461">
        <v>100</v>
      </c>
      <c r="Q461">
        <v>179</v>
      </c>
    </row>
    <row r="462" spans="1:17" ht="14.25">
      <c r="A462">
        <v>458</v>
      </c>
      <c r="B462" t="str">
        <f t="shared" si="80"/>
        <v>160801</v>
      </c>
      <c r="C462" t="str">
        <f t="shared" si="81"/>
        <v>gm. Dobrodzień</v>
      </c>
      <c r="D462" t="str">
        <f t="shared" si="82"/>
        <v>oleski</v>
      </c>
      <c r="E462" t="str">
        <f t="shared" si="79"/>
        <v>opolskie</v>
      </c>
      <c r="F462">
        <v>4</v>
      </c>
      <c r="G462" t="str">
        <f>"Publiczna Szkoła Podstawowa, ul. Aleja Wyzwolenia 4b, Pludry"</f>
        <v>Publiczna Szkoła Podstawowa, ul. Aleja Wyzwolenia 4b, Pludry</v>
      </c>
      <c r="H462">
        <v>1763</v>
      </c>
      <c r="I462">
        <v>1600</v>
      </c>
      <c r="J462">
        <v>630</v>
      </c>
      <c r="K462">
        <v>0</v>
      </c>
      <c r="L462">
        <v>970</v>
      </c>
      <c r="M462">
        <v>630</v>
      </c>
      <c r="N462">
        <v>617</v>
      </c>
      <c r="O462">
        <v>13</v>
      </c>
      <c r="P462">
        <v>235</v>
      </c>
      <c r="Q462">
        <v>382</v>
      </c>
    </row>
    <row r="463" spans="1:17" ht="14.25">
      <c r="A463">
        <v>459</v>
      </c>
      <c r="B463" t="str">
        <f t="shared" si="80"/>
        <v>160801</v>
      </c>
      <c r="C463" t="str">
        <f t="shared" si="81"/>
        <v>gm. Dobrodzień</v>
      </c>
      <c r="D463" t="str">
        <f t="shared" si="82"/>
        <v>oleski</v>
      </c>
      <c r="E463" t="str">
        <f t="shared" si="79"/>
        <v>opolskie</v>
      </c>
      <c r="F463">
        <v>5</v>
      </c>
      <c r="G463" t="str">
        <f>"Publiczna Szkoła Podstawowa, ul. Wiejska 2, Szemrowice"</f>
        <v>Publiczna Szkoła Podstawowa, ul. Wiejska 2, Szemrowice</v>
      </c>
      <c r="H463">
        <v>747</v>
      </c>
      <c r="I463">
        <v>720</v>
      </c>
      <c r="J463">
        <v>250</v>
      </c>
      <c r="K463">
        <v>0</v>
      </c>
      <c r="L463">
        <v>470</v>
      </c>
      <c r="M463">
        <v>250</v>
      </c>
      <c r="N463">
        <v>249</v>
      </c>
      <c r="O463">
        <v>1</v>
      </c>
      <c r="P463">
        <v>83</v>
      </c>
      <c r="Q463">
        <v>166</v>
      </c>
    </row>
    <row r="464" spans="1:17" ht="14.25">
      <c r="A464">
        <v>460</v>
      </c>
      <c r="B464" t="str">
        <f t="shared" si="80"/>
        <v>160801</v>
      </c>
      <c r="C464" t="str">
        <f t="shared" si="81"/>
        <v>gm. Dobrodzień</v>
      </c>
      <c r="D464" t="str">
        <f t="shared" si="82"/>
        <v>oleski</v>
      </c>
      <c r="E464" t="str">
        <f t="shared" si="79"/>
        <v>opolskie</v>
      </c>
      <c r="F464">
        <v>6</v>
      </c>
      <c r="G464" t="str">
        <f>"Budynek Szkoły Podstawowej, ul. Dobrodzieńska 8, Rzędowice"</f>
        <v>Budynek Szkoły Podstawowej, ul. Dobrodzieńska 8, Rzędowice</v>
      </c>
      <c r="H464">
        <v>658</v>
      </c>
      <c r="I464">
        <v>640</v>
      </c>
      <c r="J464">
        <v>223</v>
      </c>
      <c r="K464">
        <v>0</v>
      </c>
      <c r="L464">
        <v>417</v>
      </c>
      <c r="M464">
        <v>223</v>
      </c>
      <c r="N464">
        <v>222</v>
      </c>
      <c r="O464">
        <v>1</v>
      </c>
      <c r="P464">
        <v>85</v>
      </c>
      <c r="Q464">
        <v>137</v>
      </c>
    </row>
    <row r="465" spans="1:17" ht="14.25">
      <c r="A465">
        <v>461</v>
      </c>
      <c r="B465" t="str">
        <f>"160802"</f>
        <v>160802</v>
      </c>
      <c r="C465" t="str">
        <f>"gm. Gorzów Śląski"</f>
        <v>gm. Gorzów Śląski</v>
      </c>
      <c r="D465" t="str">
        <f t="shared" si="82"/>
        <v>oleski</v>
      </c>
      <c r="E465" t="str">
        <f t="shared" si="79"/>
        <v>opolskie</v>
      </c>
      <c r="F465">
        <v>1</v>
      </c>
      <c r="G465" t="str">
        <f>"Budynek w Gorzowie Śląskim, ul. Kluczborska 5, Gorzów Śląski"</f>
        <v>Budynek w Gorzowie Śląskim, ul. Kluczborska 5, Gorzów Śląski</v>
      </c>
      <c r="H465">
        <v>439</v>
      </c>
      <c r="I465">
        <v>478</v>
      </c>
      <c r="J465">
        <v>116</v>
      </c>
      <c r="K465">
        <v>0</v>
      </c>
      <c r="L465">
        <v>362</v>
      </c>
      <c r="M465">
        <v>116</v>
      </c>
      <c r="N465">
        <v>114</v>
      </c>
      <c r="O465">
        <v>2</v>
      </c>
      <c r="P465">
        <v>64</v>
      </c>
      <c r="Q465">
        <v>50</v>
      </c>
    </row>
    <row r="466" spans="1:17" ht="14.25">
      <c r="A466">
        <v>462</v>
      </c>
      <c r="B466" t="str">
        <f>"160802"</f>
        <v>160802</v>
      </c>
      <c r="C466" t="str">
        <f>"gm. Gorzów Śląski"</f>
        <v>gm. Gorzów Śląski</v>
      </c>
      <c r="D466" t="str">
        <f t="shared" si="82"/>
        <v>oleski</v>
      </c>
      <c r="E466" t="str">
        <f t="shared" si="79"/>
        <v>opolskie</v>
      </c>
      <c r="F466">
        <v>2</v>
      </c>
      <c r="G466" t="str">
        <f>"Miejsko-Gminny Ośrodek Kultury w Gorzowie Śląskim, ul. Rynek 4, Gorzów Śląski"</f>
        <v>Miejsko-Gminny Ośrodek Kultury w Gorzowie Śląskim, ul. Rynek 4, Gorzów Śląski</v>
      </c>
      <c r="H466">
        <v>2131</v>
      </c>
      <c r="I466">
        <v>1920</v>
      </c>
      <c r="J466">
        <v>925</v>
      </c>
      <c r="K466">
        <v>0</v>
      </c>
      <c r="L466">
        <v>995</v>
      </c>
      <c r="M466">
        <v>925</v>
      </c>
      <c r="N466">
        <v>913</v>
      </c>
      <c r="O466">
        <v>12</v>
      </c>
      <c r="P466">
        <v>329</v>
      </c>
      <c r="Q466">
        <v>584</v>
      </c>
    </row>
    <row r="467" spans="1:17" ht="14.25">
      <c r="A467">
        <v>463</v>
      </c>
      <c r="B467" t="str">
        <f>"160802"</f>
        <v>160802</v>
      </c>
      <c r="C467" t="str">
        <f>"gm. Gorzów Śląski"</f>
        <v>gm. Gorzów Śląski</v>
      </c>
      <c r="D467" t="str">
        <f t="shared" si="82"/>
        <v>oleski</v>
      </c>
      <c r="E467" t="str">
        <f t="shared" si="79"/>
        <v>opolskie</v>
      </c>
      <c r="F467">
        <v>3</v>
      </c>
      <c r="G467" t="str">
        <f>"Publiczna Szkoła Podstawowa w Kozłowicach, ul. Nowa 2, Kozłowice"</f>
        <v>Publiczna Szkoła Podstawowa w Kozłowicach, ul. Nowa 2, Kozłowice</v>
      </c>
      <c r="H467">
        <v>1705</v>
      </c>
      <c r="I467">
        <v>1519</v>
      </c>
      <c r="J467">
        <v>530</v>
      </c>
      <c r="K467">
        <v>0</v>
      </c>
      <c r="L467">
        <v>989</v>
      </c>
      <c r="M467">
        <v>530</v>
      </c>
      <c r="N467">
        <v>524</v>
      </c>
      <c r="O467">
        <v>6</v>
      </c>
      <c r="P467">
        <v>195</v>
      </c>
      <c r="Q467">
        <v>329</v>
      </c>
    </row>
    <row r="468" spans="1:17" ht="14.25">
      <c r="A468">
        <v>464</v>
      </c>
      <c r="B468" t="str">
        <f>"160802"</f>
        <v>160802</v>
      </c>
      <c r="C468" t="str">
        <f>"gm. Gorzów Śląski"</f>
        <v>gm. Gorzów Śląski</v>
      </c>
      <c r="D468" t="str">
        <f t="shared" si="82"/>
        <v>oleski</v>
      </c>
      <c r="E468" t="str">
        <f t="shared" si="79"/>
        <v>opolskie</v>
      </c>
      <c r="F468">
        <v>4</v>
      </c>
      <c r="G468" t="str">
        <f>"Publiczna Szkoła Podstawowa w Uszycach, Uszyce 35, Uszyce"</f>
        <v>Publiczna Szkoła Podstawowa w Uszycach, Uszyce 35, Uszyce</v>
      </c>
      <c r="H468">
        <v>723</v>
      </c>
      <c r="I468">
        <v>722</v>
      </c>
      <c r="J468">
        <v>249</v>
      </c>
      <c r="K468">
        <v>0</v>
      </c>
      <c r="L468">
        <v>473</v>
      </c>
      <c r="M468">
        <v>249</v>
      </c>
      <c r="N468">
        <v>246</v>
      </c>
      <c r="O468">
        <v>3</v>
      </c>
      <c r="P468">
        <v>113</v>
      </c>
      <c r="Q468">
        <v>133</v>
      </c>
    </row>
    <row r="469" spans="1:17" ht="14.25">
      <c r="A469">
        <v>465</v>
      </c>
      <c r="B469" t="str">
        <f>"160802"</f>
        <v>160802</v>
      </c>
      <c r="C469" t="str">
        <f>"gm. Gorzów Śląski"</f>
        <v>gm. Gorzów Śląski</v>
      </c>
      <c r="D469" t="str">
        <f t="shared" si="82"/>
        <v>oleski</v>
      </c>
      <c r="E469" t="str">
        <f t="shared" si="79"/>
        <v>opolskie</v>
      </c>
      <c r="F469">
        <v>5</v>
      </c>
      <c r="G469" t="str">
        <f>"Publiczne Przedszkole w Zdziechowicach, Zdziechowice 98, Zdziechowice"</f>
        <v>Publiczne Przedszkole w Zdziechowicach, Zdziechowice 98, Zdziechowice</v>
      </c>
      <c r="H469">
        <v>1120</v>
      </c>
      <c r="I469">
        <v>1040</v>
      </c>
      <c r="J469">
        <v>336</v>
      </c>
      <c r="K469">
        <v>0</v>
      </c>
      <c r="L469">
        <v>704</v>
      </c>
      <c r="M469">
        <v>336</v>
      </c>
      <c r="N469">
        <v>331</v>
      </c>
      <c r="O469">
        <v>5</v>
      </c>
      <c r="P469">
        <v>164</v>
      </c>
      <c r="Q469">
        <v>167</v>
      </c>
    </row>
    <row r="470" spans="1:17" ht="14.25">
      <c r="A470">
        <v>466</v>
      </c>
      <c r="B470" t="str">
        <f aca="true" t="shared" si="83" ref="B470:B486">"160803"</f>
        <v>160803</v>
      </c>
      <c r="C470" t="str">
        <f aca="true" t="shared" si="84" ref="C470:C486">"gm. Olesno"</f>
        <v>gm. Olesno</v>
      </c>
      <c r="D470" t="str">
        <f t="shared" si="82"/>
        <v>oleski</v>
      </c>
      <c r="E470" t="str">
        <f t="shared" si="79"/>
        <v>opolskie</v>
      </c>
      <c r="F470">
        <v>1</v>
      </c>
      <c r="G470" t="str">
        <f>"Publiczne Gimnazjum Nr 1, ul. Pieloka 12, Olesno"</f>
        <v>Publiczne Gimnazjum Nr 1, ul. Pieloka 12, Olesno</v>
      </c>
      <c r="H470">
        <v>1986</v>
      </c>
      <c r="I470">
        <v>1840</v>
      </c>
      <c r="J470">
        <v>933</v>
      </c>
      <c r="K470">
        <v>0</v>
      </c>
      <c r="L470">
        <v>907</v>
      </c>
      <c r="M470">
        <v>933</v>
      </c>
      <c r="N470">
        <v>924</v>
      </c>
      <c r="O470">
        <v>9</v>
      </c>
      <c r="P470">
        <v>256</v>
      </c>
      <c r="Q470">
        <v>668</v>
      </c>
    </row>
    <row r="471" spans="1:17" ht="14.25">
      <c r="A471">
        <v>467</v>
      </c>
      <c r="B471" t="str">
        <f t="shared" si="83"/>
        <v>160803</v>
      </c>
      <c r="C471" t="str">
        <f t="shared" si="84"/>
        <v>gm. Olesno</v>
      </c>
      <c r="D471" t="str">
        <f t="shared" si="82"/>
        <v>oleski</v>
      </c>
      <c r="E471" t="str">
        <f t="shared" si="79"/>
        <v>opolskie</v>
      </c>
      <c r="F471">
        <v>2</v>
      </c>
      <c r="G471" t="str">
        <f>"Szkoła Podstawowa Nr 3, ul. Krasickiego 25, Olesno"</f>
        <v>Szkoła Podstawowa Nr 3, ul. Krasickiego 25, Olesno</v>
      </c>
      <c r="H471">
        <v>2068</v>
      </c>
      <c r="I471">
        <v>1920</v>
      </c>
      <c r="J471">
        <v>1168</v>
      </c>
      <c r="K471">
        <v>0</v>
      </c>
      <c r="L471">
        <v>752</v>
      </c>
      <c r="M471">
        <v>1168</v>
      </c>
      <c r="N471">
        <v>1149</v>
      </c>
      <c r="O471">
        <v>19</v>
      </c>
      <c r="P471">
        <v>262</v>
      </c>
      <c r="Q471">
        <v>887</v>
      </c>
    </row>
    <row r="472" spans="1:17" ht="14.25">
      <c r="A472">
        <v>468</v>
      </c>
      <c r="B472" t="str">
        <f t="shared" si="83"/>
        <v>160803</v>
      </c>
      <c r="C472" t="str">
        <f t="shared" si="84"/>
        <v>gm. Olesno</v>
      </c>
      <c r="D472" t="str">
        <f t="shared" si="82"/>
        <v>oleski</v>
      </c>
      <c r="E472" t="str">
        <f t="shared" si="79"/>
        <v>opolskie</v>
      </c>
      <c r="F472">
        <v>3</v>
      </c>
      <c r="G472" t="str">
        <f>"Miejski Dom Kultury, Mała sala, ul. Wielkie Przedmieście 31, Olesno"</f>
        <v>Miejski Dom Kultury, Mała sala, ul. Wielkie Przedmieście 31, Olesno</v>
      </c>
      <c r="H472">
        <v>1724</v>
      </c>
      <c r="I472">
        <v>1599</v>
      </c>
      <c r="J472">
        <v>796</v>
      </c>
      <c r="K472">
        <v>0</v>
      </c>
      <c r="L472">
        <v>803</v>
      </c>
      <c r="M472">
        <v>796</v>
      </c>
      <c r="N472">
        <v>785</v>
      </c>
      <c r="O472">
        <v>11</v>
      </c>
      <c r="P472">
        <v>230</v>
      </c>
      <c r="Q472">
        <v>555</v>
      </c>
    </row>
    <row r="473" spans="1:17" ht="14.25">
      <c r="A473">
        <v>469</v>
      </c>
      <c r="B473" t="str">
        <f t="shared" si="83"/>
        <v>160803</v>
      </c>
      <c r="C473" t="str">
        <f t="shared" si="84"/>
        <v>gm. Olesno</v>
      </c>
      <c r="D473" t="str">
        <f t="shared" si="82"/>
        <v>oleski</v>
      </c>
      <c r="E473" t="str">
        <f t="shared" si="79"/>
        <v>opolskie</v>
      </c>
      <c r="F473">
        <v>4</v>
      </c>
      <c r="G473" t="str">
        <f>"Miejski Dom Kultury, Sala kominkowa, ul. Wielkie Przedmieście 31, Olesno"</f>
        <v>Miejski Dom Kultury, Sala kominkowa, ul. Wielkie Przedmieście 31, Olesno</v>
      </c>
      <c r="H473">
        <v>2104</v>
      </c>
      <c r="I473">
        <v>1920</v>
      </c>
      <c r="J473">
        <v>1029</v>
      </c>
      <c r="K473">
        <v>1</v>
      </c>
      <c r="L473">
        <v>891</v>
      </c>
      <c r="M473">
        <v>1029</v>
      </c>
      <c r="N473">
        <v>1021</v>
      </c>
      <c r="O473">
        <v>8</v>
      </c>
      <c r="P473">
        <v>255</v>
      </c>
      <c r="Q473">
        <v>766</v>
      </c>
    </row>
    <row r="474" spans="1:17" ht="14.25">
      <c r="A474">
        <v>470</v>
      </c>
      <c r="B474" t="str">
        <f t="shared" si="83"/>
        <v>160803</v>
      </c>
      <c r="C474" t="str">
        <f t="shared" si="84"/>
        <v>gm. Olesno</v>
      </c>
      <c r="D474" t="str">
        <f t="shared" si="82"/>
        <v>oleski</v>
      </c>
      <c r="E474" t="str">
        <f t="shared" si="79"/>
        <v>opolskie</v>
      </c>
      <c r="F474">
        <v>5</v>
      </c>
      <c r="G474" t="str">
        <f>"Szkoła Podstawowa, ul. Szkolna 1, Bodzanowice"</f>
        <v>Szkoła Podstawowa, ul. Szkolna 1, Bodzanowice</v>
      </c>
      <c r="H474">
        <v>996</v>
      </c>
      <c r="I474">
        <v>880</v>
      </c>
      <c r="J474">
        <v>301</v>
      </c>
      <c r="K474">
        <v>0</v>
      </c>
      <c r="L474">
        <v>579</v>
      </c>
      <c r="M474">
        <v>301</v>
      </c>
      <c r="N474">
        <v>293</v>
      </c>
      <c r="O474">
        <v>8</v>
      </c>
      <c r="P474">
        <v>146</v>
      </c>
      <c r="Q474">
        <v>147</v>
      </c>
    </row>
    <row r="475" spans="1:17" ht="14.25">
      <c r="A475">
        <v>471</v>
      </c>
      <c r="B475" t="str">
        <f t="shared" si="83"/>
        <v>160803</v>
      </c>
      <c r="C475" t="str">
        <f t="shared" si="84"/>
        <v>gm. Olesno</v>
      </c>
      <c r="D475" t="str">
        <f t="shared" si="82"/>
        <v>oleski</v>
      </c>
      <c r="E475" t="str">
        <f t="shared" si="79"/>
        <v>opolskie</v>
      </c>
      <c r="F475">
        <v>6</v>
      </c>
      <c r="G475" t="str">
        <f>"Szkoła Podstawowa, ul. Młyńska 8, Borki Wielkie"</f>
        <v>Szkoła Podstawowa, ul. Młyńska 8, Borki Wielkie</v>
      </c>
      <c r="H475">
        <v>923</v>
      </c>
      <c r="I475">
        <v>800</v>
      </c>
      <c r="J475">
        <v>365</v>
      </c>
      <c r="K475">
        <v>0</v>
      </c>
      <c r="L475">
        <v>435</v>
      </c>
      <c r="M475">
        <v>365</v>
      </c>
      <c r="N475">
        <v>362</v>
      </c>
      <c r="O475">
        <v>3</v>
      </c>
      <c r="P475">
        <v>167</v>
      </c>
      <c r="Q475">
        <v>195</v>
      </c>
    </row>
    <row r="476" spans="1:17" ht="14.25">
      <c r="A476">
        <v>472</v>
      </c>
      <c r="B476" t="str">
        <f t="shared" si="83"/>
        <v>160803</v>
      </c>
      <c r="C476" t="str">
        <f t="shared" si="84"/>
        <v>gm. Olesno</v>
      </c>
      <c r="D476" t="str">
        <f t="shared" si="82"/>
        <v>oleski</v>
      </c>
      <c r="E476" t="str">
        <f t="shared" si="79"/>
        <v>opolskie</v>
      </c>
      <c r="F476">
        <v>7</v>
      </c>
      <c r="G476" t="str">
        <f>"Publiczne Przedszkole, ul. Szkolna 1, Borki Małe"</f>
        <v>Publiczne Przedszkole, ul. Szkolna 1, Borki Małe</v>
      </c>
      <c r="H476">
        <v>380</v>
      </c>
      <c r="I476">
        <v>400</v>
      </c>
      <c r="J476">
        <v>129</v>
      </c>
      <c r="K476">
        <v>0</v>
      </c>
      <c r="L476">
        <v>271</v>
      </c>
      <c r="M476">
        <v>129</v>
      </c>
      <c r="N476">
        <v>127</v>
      </c>
      <c r="O476">
        <v>2</v>
      </c>
      <c r="P476">
        <v>47</v>
      </c>
      <c r="Q476">
        <v>80</v>
      </c>
    </row>
    <row r="477" spans="1:17" ht="14.25">
      <c r="A477">
        <v>473</v>
      </c>
      <c r="B477" t="str">
        <f t="shared" si="83"/>
        <v>160803</v>
      </c>
      <c r="C477" t="str">
        <f t="shared" si="84"/>
        <v>gm. Olesno</v>
      </c>
      <c r="D477" t="str">
        <f t="shared" si="82"/>
        <v>oleski</v>
      </c>
      <c r="E477" t="str">
        <f t="shared" si="79"/>
        <v>opolskie</v>
      </c>
      <c r="F477">
        <v>8</v>
      </c>
      <c r="G477" t="str">
        <f>"DFK, ul. Zapłocie 1, Świercze"</f>
        <v>DFK, ul. Zapłocie 1, Świercze</v>
      </c>
      <c r="H477">
        <v>712</v>
      </c>
      <c r="I477">
        <v>720</v>
      </c>
      <c r="J477">
        <v>270</v>
      </c>
      <c r="K477">
        <v>0</v>
      </c>
      <c r="L477">
        <v>450</v>
      </c>
      <c r="M477">
        <v>270</v>
      </c>
      <c r="N477">
        <v>266</v>
      </c>
      <c r="O477">
        <v>4</v>
      </c>
      <c r="P477">
        <v>74</v>
      </c>
      <c r="Q477">
        <v>192</v>
      </c>
    </row>
    <row r="478" spans="1:17" ht="14.25">
      <c r="A478">
        <v>474</v>
      </c>
      <c r="B478" t="str">
        <f t="shared" si="83"/>
        <v>160803</v>
      </c>
      <c r="C478" t="str">
        <f t="shared" si="84"/>
        <v>gm. Olesno</v>
      </c>
      <c r="D478" t="str">
        <f t="shared" si="82"/>
        <v>oleski</v>
      </c>
      <c r="E478" t="str">
        <f t="shared" si="79"/>
        <v>opolskie</v>
      </c>
      <c r="F478">
        <v>9</v>
      </c>
      <c r="G478" t="str">
        <f>"Remiza OSP, ul. Strażacka 3, Łomnica"</f>
        <v>Remiza OSP, ul. Strażacka 3, Łomnica</v>
      </c>
      <c r="H478">
        <v>615</v>
      </c>
      <c r="I478">
        <v>640</v>
      </c>
      <c r="J478">
        <v>171</v>
      </c>
      <c r="K478">
        <v>0</v>
      </c>
      <c r="L478">
        <v>469</v>
      </c>
      <c r="M478">
        <v>171</v>
      </c>
      <c r="N478">
        <v>167</v>
      </c>
      <c r="O478">
        <v>4</v>
      </c>
      <c r="P478">
        <v>58</v>
      </c>
      <c r="Q478">
        <v>109</v>
      </c>
    </row>
    <row r="479" spans="1:17" ht="14.25">
      <c r="A479">
        <v>475</v>
      </c>
      <c r="B479" t="str">
        <f t="shared" si="83"/>
        <v>160803</v>
      </c>
      <c r="C479" t="str">
        <f t="shared" si="84"/>
        <v>gm. Olesno</v>
      </c>
      <c r="D479" t="str">
        <f t="shared" si="82"/>
        <v>oleski</v>
      </c>
      <c r="E479" t="str">
        <f t="shared" si="79"/>
        <v>opolskie</v>
      </c>
      <c r="F479">
        <v>10</v>
      </c>
      <c r="G479" t="str">
        <f>"Szkoła Podstawowa, ul. Długa 8, Sowczyce"</f>
        <v>Szkoła Podstawowa, ul. Długa 8, Sowczyce</v>
      </c>
      <c r="H479">
        <v>582</v>
      </c>
      <c r="I479">
        <v>640</v>
      </c>
      <c r="J479">
        <v>210</v>
      </c>
      <c r="K479">
        <v>0</v>
      </c>
      <c r="L479">
        <v>430</v>
      </c>
      <c r="M479">
        <v>210</v>
      </c>
      <c r="N479">
        <v>204</v>
      </c>
      <c r="O479">
        <v>6</v>
      </c>
      <c r="P479">
        <v>57</v>
      </c>
      <c r="Q479">
        <v>147</v>
      </c>
    </row>
    <row r="480" spans="1:17" ht="14.25">
      <c r="A480">
        <v>476</v>
      </c>
      <c r="B480" t="str">
        <f t="shared" si="83"/>
        <v>160803</v>
      </c>
      <c r="C480" t="str">
        <f t="shared" si="84"/>
        <v>gm. Olesno</v>
      </c>
      <c r="D480" t="str">
        <f t="shared" si="82"/>
        <v>oleski</v>
      </c>
      <c r="E480" t="str">
        <f t="shared" si="79"/>
        <v>opolskie</v>
      </c>
      <c r="F480">
        <v>11</v>
      </c>
      <c r="G480" t="str">
        <f>"Szkoła Podstawowa, ul. Polna 17, Wachów"</f>
        <v>Szkoła Podstawowa, ul. Polna 17, Wachów</v>
      </c>
      <c r="H480">
        <v>643</v>
      </c>
      <c r="I480">
        <v>640</v>
      </c>
      <c r="J480">
        <v>230</v>
      </c>
      <c r="K480">
        <v>0</v>
      </c>
      <c r="L480">
        <v>410</v>
      </c>
      <c r="M480">
        <v>230</v>
      </c>
      <c r="N480">
        <v>227</v>
      </c>
      <c r="O480">
        <v>3</v>
      </c>
      <c r="P480">
        <v>67</v>
      </c>
      <c r="Q480">
        <v>160</v>
      </c>
    </row>
    <row r="481" spans="1:17" ht="14.25">
      <c r="A481">
        <v>477</v>
      </c>
      <c r="B481" t="str">
        <f t="shared" si="83"/>
        <v>160803</v>
      </c>
      <c r="C481" t="str">
        <f t="shared" si="84"/>
        <v>gm. Olesno</v>
      </c>
      <c r="D481" t="str">
        <f t="shared" si="82"/>
        <v>oleski</v>
      </c>
      <c r="E481" t="str">
        <f t="shared" si="79"/>
        <v>opolskie</v>
      </c>
      <c r="F481">
        <v>12</v>
      </c>
      <c r="G481" t="str">
        <f>"Remiza OSP, Wysoka 39a, Wysoka"</f>
        <v>Remiza OSP, Wysoka 39a, Wysoka</v>
      </c>
      <c r="H481">
        <v>357</v>
      </c>
      <c r="I481">
        <v>400</v>
      </c>
      <c r="J481">
        <v>103</v>
      </c>
      <c r="K481">
        <v>0</v>
      </c>
      <c r="L481">
        <v>297</v>
      </c>
      <c r="M481">
        <v>103</v>
      </c>
      <c r="N481">
        <v>103</v>
      </c>
      <c r="O481">
        <v>0</v>
      </c>
      <c r="P481">
        <v>25</v>
      </c>
      <c r="Q481">
        <v>78</v>
      </c>
    </row>
    <row r="482" spans="1:17" ht="14.25">
      <c r="A482">
        <v>478</v>
      </c>
      <c r="B482" t="str">
        <f t="shared" si="83"/>
        <v>160803</v>
      </c>
      <c r="C482" t="str">
        <f t="shared" si="84"/>
        <v>gm. Olesno</v>
      </c>
      <c r="D482" t="str">
        <f t="shared" si="82"/>
        <v>oleski</v>
      </c>
      <c r="E482" t="str">
        <f t="shared" si="79"/>
        <v>opolskie</v>
      </c>
      <c r="F482">
        <v>13</v>
      </c>
      <c r="G482" t="str">
        <f>"Szkoła Podstawowa, ul. Kluczborska 37, Wojciechów"</f>
        <v>Szkoła Podstawowa, ul. Kluczborska 37, Wojciechów</v>
      </c>
      <c r="H482">
        <v>695</v>
      </c>
      <c r="I482">
        <v>725</v>
      </c>
      <c r="J482">
        <v>237</v>
      </c>
      <c r="K482">
        <v>0</v>
      </c>
      <c r="L482">
        <v>488</v>
      </c>
      <c r="M482">
        <v>237</v>
      </c>
      <c r="N482">
        <v>233</v>
      </c>
      <c r="O482">
        <v>4</v>
      </c>
      <c r="P482">
        <v>75</v>
      </c>
      <c r="Q482">
        <v>158</v>
      </c>
    </row>
    <row r="483" spans="1:17" ht="14.25">
      <c r="A483">
        <v>479</v>
      </c>
      <c r="B483" t="str">
        <f t="shared" si="83"/>
        <v>160803</v>
      </c>
      <c r="C483" t="str">
        <f t="shared" si="84"/>
        <v>gm. Olesno</v>
      </c>
      <c r="D483" t="str">
        <f t="shared" si="82"/>
        <v>oleski</v>
      </c>
      <c r="E483" t="str">
        <f t="shared" si="79"/>
        <v>opolskie</v>
      </c>
      <c r="F483">
        <v>14</v>
      </c>
      <c r="G483" t="str">
        <f>"Publiczne Przedszkole, ul. Opolska 64, Łowoszów"</f>
        <v>Publiczne Przedszkole, ul. Opolska 64, Łowoszów</v>
      </c>
      <c r="H483">
        <v>415</v>
      </c>
      <c r="I483">
        <v>400</v>
      </c>
      <c r="J483">
        <v>168</v>
      </c>
      <c r="K483">
        <v>0</v>
      </c>
      <c r="L483">
        <v>232</v>
      </c>
      <c r="M483">
        <v>168</v>
      </c>
      <c r="N483">
        <v>161</v>
      </c>
      <c r="O483">
        <v>7</v>
      </c>
      <c r="P483">
        <v>57</v>
      </c>
      <c r="Q483">
        <v>104</v>
      </c>
    </row>
    <row r="484" spans="1:17" ht="14.25">
      <c r="A484">
        <v>480</v>
      </c>
      <c r="B484" t="str">
        <f t="shared" si="83"/>
        <v>160803</v>
      </c>
      <c r="C484" t="str">
        <f t="shared" si="84"/>
        <v>gm. Olesno</v>
      </c>
      <c r="D484" t="str">
        <f t="shared" si="82"/>
        <v>oleski</v>
      </c>
      <c r="E484" t="str">
        <f t="shared" si="79"/>
        <v>opolskie</v>
      </c>
      <c r="F484">
        <v>15</v>
      </c>
      <c r="G484" t="str">
        <f>"Szkoła Podstawowa, ul. Kluczborska 37, Wojciechów"</f>
        <v>Szkoła Podstawowa, ul. Kluczborska 37, Wojciechów</v>
      </c>
      <c r="H484">
        <v>427</v>
      </c>
      <c r="I484">
        <v>477</v>
      </c>
      <c r="J484">
        <v>129</v>
      </c>
      <c r="K484">
        <v>0</v>
      </c>
      <c r="L484">
        <v>348</v>
      </c>
      <c r="M484">
        <v>129</v>
      </c>
      <c r="N484">
        <v>127</v>
      </c>
      <c r="O484">
        <v>2</v>
      </c>
      <c r="P484">
        <v>26</v>
      </c>
      <c r="Q484">
        <v>101</v>
      </c>
    </row>
    <row r="485" spans="1:17" ht="14.25">
      <c r="A485">
        <v>481</v>
      </c>
      <c r="B485" t="str">
        <f t="shared" si="83"/>
        <v>160803</v>
      </c>
      <c r="C485" t="str">
        <f t="shared" si="84"/>
        <v>gm. Olesno</v>
      </c>
      <c r="D485" t="str">
        <f t="shared" si="82"/>
        <v>oleski</v>
      </c>
      <c r="E485" t="str">
        <f t="shared" si="79"/>
        <v>opolskie</v>
      </c>
      <c r="F485">
        <v>16</v>
      </c>
      <c r="G485" t="str">
        <f>"Remiza OSP, Boroszów 44, Boroszów"</f>
        <v>Remiza OSP, Boroszów 44, Boroszów</v>
      </c>
      <c r="H485">
        <v>201</v>
      </c>
      <c r="I485">
        <v>196</v>
      </c>
      <c r="J485">
        <v>110</v>
      </c>
      <c r="K485">
        <v>0</v>
      </c>
      <c r="L485">
        <v>86</v>
      </c>
      <c r="M485">
        <v>110</v>
      </c>
      <c r="N485">
        <v>109</v>
      </c>
      <c r="O485">
        <v>1</v>
      </c>
      <c r="P485">
        <v>24</v>
      </c>
      <c r="Q485">
        <v>85</v>
      </c>
    </row>
    <row r="486" spans="1:17" ht="14.25">
      <c r="A486">
        <v>482</v>
      </c>
      <c r="B486" t="str">
        <f t="shared" si="83"/>
        <v>160803</v>
      </c>
      <c r="C486" t="str">
        <f t="shared" si="84"/>
        <v>gm. Olesno</v>
      </c>
      <c r="D486" t="str">
        <f t="shared" si="82"/>
        <v>oleski</v>
      </c>
      <c r="E486" t="str">
        <f t="shared" si="79"/>
        <v>opolskie</v>
      </c>
      <c r="F486">
        <v>17</v>
      </c>
      <c r="G486" t="str">
        <f>"Szpital Powiatowy, ul. Klonowa 1, Olesno"</f>
        <v>Szpital Powiatowy, ul. Klonowa 1, Olesno</v>
      </c>
      <c r="H486">
        <v>228</v>
      </c>
      <c r="I486">
        <v>150</v>
      </c>
      <c r="J486">
        <v>21</v>
      </c>
      <c r="K486">
        <v>0</v>
      </c>
      <c r="L486">
        <v>129</v>
      </c>
      <c r="M486">
        <v>21</v>
      </c>
      <c r="N486">
        <v>21</v>
      </c>
      <c r="O486">
        <v>0</v>
      </c>
      <c r="P486">
        <v>5</v>
      </c>
      <c r="Q486">
        <v>16</v>
      </c>
    </row>
    <row r="487" spans="1:17" ht="14.25">
      <c r="A487">
        <v>483</v>
      </c>
      <c r="B487" t="str">
        <f aca="true" t="shared" si="85" ref="B487:B497">"160804"</f>
        <v>160804</v>
      </c>
      <c r="C487" t="str">
        <f aca="true" t="shared" si="86" ref="C487:C497">"gm. Praszka"</f>
        <v>gm. Praszka</v>
      </c>
      <c r="D487" t="str">
        <f t="shared" si="82"/>
        <v>oleski</v>
      </c>
      <c r="E487" t="str">
        <f t="shared" si="79"/>
        <v>opolskie</v>
      </c>
      <c r="F487">
        <v>1</v>
      </c>
      <c r="G487" t="str">
        <f>"Klub Abstynenta, Plac Grunwaldzki 9, Praszka"</f>
        <v>Klub Abstynenta, Plac Grunwaldzki 9, Praszka</v>
      </c>
      <c r="H487">
        <v>1319</v>
      </c>
      <c r="I487">
        <v>1280</v>
      </c>
      <c r="J487">
        <v>728</v>
      </c>
      <c r="K487">
        <v>33</v>
      </c>
      <c r="L487">
        <v>552</v>
      </c>
      <c r="M487">
        <v>728</v>
      </c>
      <c r="N487">
        <v>713</v>
      </c>
      <c r="O487">
        <v>15</v>
      </c>
      <c r="P487">
        <v>308</v>
      </c>
      <c r="Q487">
        <v>405</v>
      </c>
    </row>
    <row r="488" spans="1:17" ht="14.25">
      <c r="A488">
        <v>484</v>
      </c>
      <c r="B488" t="str">
        <f t="shared" si="85"/>
        <v>160804</v>
      </c>
      <c r="C488" t="str">
        <f t="shared" si="86"/>
        <v>gm. Praszka</v>
      </c>
      <c r="D488" t="str">
        <f t="shared" si="82"/>
        <v>oleski</v>
      </c>
      <c r="E488" t="str">
        <f t="shared" si="79"/>
        <v>opolskie</v>
      </c>
      <c r="F488">
        <v>2</v>
      </c>
      <c r="G488" t="str">
        <f>"Publiczne Gimnazjum, ul. Listopadowa 18, Praszka"</f>
        <v>Publiczne Gimnazjum, ul. Listopadowa 18, Praszka</v>
      </c>
      <c r="H488">
        <v>2190</v>
      </c>
      <c r="I488">
        <v>2000</v>
      </c>
      <c r="J488">
        <v>1149</v>
      </c>
      <c r="K488">
        <v>0</v>
      </c>
      <c r="L488">
        <v>851</v>
      </c>
      <c r="M488">
        <v>1149</v>
      </c>
      <c r="N488">
        <v>1128</v>
      </c>
      <c r="O488">
        <v>21</v>
      </c>
      <c r="P488">
        <v>483</v>
      </c>
      <c r="Q488">
        <v>645</v>
      </c>
    </row>
    <row r="489" spans="1:17" ht="14.25">
      <c r="A489">
        <v>485</v>
      </c>
      <c r="B489" t="str">
        <f t="shared" si="85"/>
        <v>160804</v>
      </c>
      <c r="C489" t="str">
        <f t="shared" si="86"/>
        <v>gm. Praszka</v>
      </c>
      <c r="D489" t="str">
        <f t="shared" si="82"/>
        <v>oleski</v>
      </c>
      <c r="E489" t="str">
        <f t="shared" si="79"/>
        <v>opolskie</v>
      </c>
      <c r="F489">
        <v>3</v>
      </c>
      <c r="G489" t="str">
        <f>"Publiczne Przedszkole Nr 1, ul. Mickiewicza 28, Praszka"</f>
        <v>Publiczne Przedszkole Nr 1, ul. Mickiewicza 28, Praszka</v>
      </c>
      <c r="H489">
        <v>1247</v>
      </c>
      <c r="I489">
        <v>1200</v>
      </c>
      <c r="J489">
        <v>691</v>
      </c>
      <c r="K489">
        <v>0</v>
      </c>
      <c r="L489">
        <v>509</v>
      </c>
      <c r="M489">
        <v>691</v>
      </c>
      <c r="N489">
        <v>673</v>
      </c>
      <c r="O489">
        <v>18</v>
      </c>
      <c r="P489">
        <v>272</v>
      </c>
      <c r="Q489">
        <v>401</v>
      </c>
    </row>
    <row r="490" spans="1:17" ht="14.25">
      <c r="A490">
        <v>486</v>
      </c>
      <c r="B490" t="str">
        <f t="shared" si="85"/>
        <v>160804</v>
      </c>
      <c r="C490" t="str">
        <f t="shared" si="86"/>
        <v>gm. Praszka</v>
      </c>
      <c r="D490" t="str">
        <f t="shared" si="82"/>
        <v>oleski</v>
      </c>
      <c r="E490" t="str">
        <f t="shared" si="79"/>
        <v>opolskie</v>
      </c>
      <c r="F490">
        <v>4</v>
      </c>
      <c r="G490" t="str">
        <f>"Zespół Szkół, ul.Kaliska 38, Praszka"</f>
        <v>Zespół Szkół, ul.Kaliska 38, Praszka</v>
      </c>
      <c r="H490">
        <v>978</v>
      </c>
      <c r="I490">
        <v>876</v>
      </c>
      <c r="J490">
        <v>529</v>
      </c>
      <c r="K490">
        <v>0</v>
      </c>
      <c r="L490">
        <v>347</v>
      </c>
      <c r="M490">
        <v>529</v>
      </c>
      <c r="N490">
        <v>518</v>
      </c>
      <c r="O490">
        <v>11</v>
      </c>
      <c r="P490">
        <v>223</v>
      </c>
      <c r="Q490">
        <v>295</v>
      </c>
    </row>
    <row r="491" spans="1:17" ht="14.25">
      <c r="A491">
        <v>487</v>
      </c>
      <c r="B491" t="str">
        <f t="shared" si="85"/>
        <v>160804</v>
      </c>
      <c r="C491" t="str">
        <f t="shared" si="86"/>
        <v>gm. Praszka</v>
      </c>
      <c r="D491" t="str">
        <f aca="true" t="shared" si="87" ref="D491:D509">"oleski"</f>
        <v>oleski</v>
      </c>
      <c r="E491" t="str">
        <f t="shared" si="79"/>
        <v>opolskie</v>
      </c>
      <c r="F491">
        <v>5</v>
      </c>
      <c r="G491" t="str">
        <f>"Publiczna Szkoła Podstawowa, Gana 28, Gana"</f>
        <v>Publiczna Szkoła Podstawowa, Gana 28, Gana</v>
      </c>
      <c r="H491">
        <v>986</v>
      </c>
      <c r="I491">
        <v>879</v>
      </c>
      <c r="J491">
        <v>485</v>
      </c>
      <c r="K491">
        <v>0</v>
      </c>
      <c r="L491">
        <v>394</v>
      </c>
      <c r="M491">
        <v>485</v>
      </c>
      <c r="N491">
        <v>479</v>
      </c>
      <c r="O491">
        <v>6</v>
      </c>
      <c r="P491">
        <v>307</v>
      </c>
      <c r="Q491">
        <v>172</v>
      </c>
    </row>
    <row r="492" spans="1:17" ht="14.25">
      <c r="A492">
        <v>488</v>
      </c>
      <c r="B492" t="str">
        <f t="shared" si="85"/>
        <v>160804</v>
      </c>
      <c r="C492" t="str">
        <f t="shared" si="86"/>
        <v>gm. Praszka</v>
      </c>
      <c r="D492" t="str">
        <f t="shared" si="87"/>
        <v>oleski</v>
      </c>
      <c r="E492" t="str">
        <f t="shared" si="79"/>
        <v>opolskie</v>
      </c>
      <c r="F492">
        <v>6</v>
      </c>
      <c r="G492" t="str">
        <f>"Remiza Ochotniczej Straży Pożarnej, Wygiełdów 22, Wygiełdów"</f>
        <v>Remiza Ochotniczej Straży Pożarnej, Wygiełdów 22, Wygiełdów</v>
      </c>
      <c r="H492">
        <v>842</v>
      </c>
      <c r="I492">
        <v>800</v>
      </c>
      <c r="J492">
        <v>380</v>
      </c>
      <c r="K492">
        <v>0</v>
      </c>
      <c r="L492">
        <v>420</v>
      </c>
      <c r="M492">
        <v>380</v>
      </c>
      <c r="N492">
        <v>368</v>
      </c>
      <c r="O492">
        <v>12</v>
      </c>
      <c r="P492">
        <v>151</v>
      </c>
      <c r="Q492">
        <v>217</v>
      </c>
    </row>
    <row r="493" spans="1:17" ht="14.25">
      <c r="A493">
        <v>489</v>
      </c>
      <c r="B493" t="str">
        <f t="shared" si="85"/>
        <v>160804</v>
      </c>
      <c r="C493" t="str">
        <f t="shared" si="86"/>
        <v>gm. Praszka</v>
      </c>
      <c r="D493" t="str">
        <f t="shared" si="87"/>
        <v>oleski</v>
      </c>
      <c r="E493" t="str">
        <f t="shared" si="79"/>
        <v>opolskie</v>
      </c>
      <c r="F493">
        <v>7</v>
      </c>
      <c r="G493" t="str">
        <f>"Publiczna Szkoła Podstawowa, ul.Główna 22, Przedmość"</f>
        <v>Publiczna Szkoła Podstawowa, ul.Główna 22, Przedmość</v>
      </c>
      <c r="H493">
        <v>663</v>
      </c>
      <c r="I493">
        <v>640</v>
      </c>
      <c r="J493">
        <v>346</v>
      </c>
      <c r="K493">
        <v>1</v>
      </c>
      <c r="L493">
        <v>294</v>
      </c>
      <c r="M493">
        <v>346</v>
      </c>
      <c r="N493">
        <v>340</v>
      </c>
      <c r="O493">
        <v>6</v>
      </c>
      <c r="P493">
        <v>147</v>
      </c>
      <c r="Q493">
        <v>193</v>
      </c>
    </row>
    <row r="494" spans="1:17" ht="14.25">
      <c r="A494">
        <v>490</v>
      </c>
      <c r="B494" t="str">
        <f t="shared" si="85"/>
        <v>160804</v>
      </c>
      <c r="C494" t="str">
        <f t="shared" si="86"/>
        <v>gm. Praszka</v>
      </c>
      <c r="D494" t="str">
        <f t="shared" si="87"/>
        <v>oleski</v>
      </c>
      <c r="E494" t="str">
        <f t="shared" si="79"/>
        <v>opolskie</v>
      </c>
      <c r="F494">
        <v>8</v>
      </c>
      <c r="G494" t="str">
        <f>"Publiczna Szkoła Podstawowa, ul.Szkolna 8, Strojec"</f>
        <v>Publiczna Szkoła Podstawowa, ul.Szkolna 8, Strojec</v>
      </c>
      <c r="H494">
        <v>872</v>
      </c>
      <c r="I494">
        <v>800</v>
      </c>
      <c r="J494">
        <v>435</v>
      </c>
      <c r="K494">
        <v>0</v>
      </c>
      <c r="L494">
        <v>365</v>
      </c>
      <c r="M494">
        <v>435</v>
      </c>
      <c r="N494">
        <v>426</v>
      </c>
      <c r="O494">
        <v>9</v>
      </c>
      <c r="P494">
        <v>174</v>
      </c>
      <c r="Q494">
        <v>252</v>
      </c>
    </row>
    <row r="495" spans="1:17" ht="14.25">
      <c r="A495">
        <v>491</v>
      </c>
      <c r="B495" t="str">
        <f t="shared" si="85"/>
        <v>160804</v>
      </c>
      <c r="C495" t="str">
        <f t="shared" si="86"/>
        <v>gm. Praszka</v>
      </c>
      <c r="D495" t="str">
        <f t="shared" si="87"/>
        <v>oleski</v>
      </c>
      <c r="E495" t="str">
        <f t="shared" si="79"/>
        <v>opolskie</v>
      </c>
      <c r="F495">
        <v>9</v>
      </c>
      <c r="G495" t="str">
        <f>"Publiczna Szkoła Podstawowa, Wierzbie 44, Wierzbie"</f>
        <v>Publiczna Szkoła Podstawowa, Wierzbie 44, Wierzbie</v>
      </c>
      <c r="H495">
        <v>632</v>
      </c>
      <c r="I495">
        <v>640</v>
      </c>
      <c r="J495">
        <v>287</v>
      </c>
      <c r="K495">
        <v>0</v>
      </c>
      <c r="L495">
        <v>353</v>
      </c>
      <c r="M495">
        <v>287</v>
      </c>
      <c r="N495">
        <v>285</v>
      </c>
      <c r="O495">
        <v>2</v>
      </c>
      <c r="P495">
        <v>210</v>
      </c>
      <c r="Q495">
        <v>75</v>
      </c>
    </row>
    <row r="496" spans="1:17" ht="14.25">
      <c r="A496">
        <v>492</v>
      </c>
      <c r="B496" t="str">
        <f t="shared" si="85"/>
        <v>160804</v>
      </c>
      <c r="C496" t="str">
        <f t="shared" si="86"/>
        <v>gm. Praszka</v>
      </c>
      <c r="D496" t="str">
        <f t="shared" si="87"/>
        <v>oleski</v>
      </c>
      <c r="E496" t="str">
        <f t="shared" si="79"/>
        <v>opolskie</v>
      </c>
      <c r="F496">
        <v>10</v>
      </c>
      <c r="G496" t="str">
        <f>"Publiczna Szkoła Podstawowa, ul.Szkolna 1, Kowale"</f>
        <v>Publiczna Szkoła Podstawowa, ul.Szkolna 1, Kowale</v>
      </c>
      <c r="H496">
        <v>773</v>
      </c>
      <c r="I496">
        <v>720</v>
      </c>
      <c r="J496">
        <v>417</v>
      </c>
      <c r="K496">
        <v>0</v>
      </c>
      <c r="L496">
        <v>303</v>
      </c>
      <c r="M496">
        <v>416</v>
      </c>
      <c r="N496">
        <v>413</v>
      </c>
      <c r="O496">
        <v>3</v>
      </c>
      <c r="P496">
        <v>165</v>
      </c>
      <c r="Q496">
        <v>248</v>
      </c>
    </row>
    <row r="497" spans="1:17" ht="14.25">
      <c r="A497">
        <v>493</v>
      </c>
      <c r="B497" t="str">
        <f t="shared" si="85"/>
        <v>160804</v>
      </c>
      <c r="C497" t="str">
        <f t="shared" si="86"/>
        <v>gm. Praszka</v>
      </c>
      <c r="D497" t="str">
        <f t="shared" si="87"/>
        <v>oleski</v>
      </c>
      <c r="E497" t="str">
        <f t="shared" si="79"/>
        <v>opolskie</v>
      </c>
      <c r="F497">
        <v>11</v>
      </c>
      <c r="G497" t="str">
        <f>"Publiczne Przedszkole Nr 1, ul. Mickiewicza 28, Praszka"</f>
        <v>Publiczne Przedszkole Nr 1, ul. Mickiewicza 28, Praszka</v>
      </c>
      <c r="H497">
        <v>1200</v>
      </c>
      <c r="I497">
        <v>1200</v>
      </c>
      <c r="J497">
        <v>621</v>
      </c>
      <c r="K497">
        <v>2</v>
      </c>
      <c r="L497">
        <v>579</v>
      </c>
      <c r="M497">
        <v>621</v>
      </c>
      <c r="N497">
        <v>613</v>
      </c>
      <c r="O497">
        <v>8</v>
      </c>
      <c r="P497">
        <v>277</v>
      </c>
      <c r="Q497">
        <v>336</v>
      </c>
    </row>
    <row r="498" spans="1:17" ht="14.25">
      <c r="A498">
        <v>494</v>
      </c>
      <c r="B498" t="str">
        <f>"160805"</f>
        <v>160805</v>
      </c>
      <c r="C498" t="str">
        <f>"gm. Radłów"</f>
        <v>gm. Radłów</v>
      </c>
      <c r="D498" t="str">
        <f t="shared" si="87"/>
        <v>oleski</v>
      </c>
      <c r="E498" t="str">
        <f t="shared" si="79"/>
        <v>opolskie</v>
      </c>
      <c r="F498">
        <v>1</v>
      </c>
      <c r="G498" t="str">
        <f>"Klub w Radłowie, ul.Oleska 3a, Radłów"</f>
        <v>Klub w Radłowie, ul.Oleska 3a, Radłów</v>
      </c>
      <c r="H498">
        <v>1574</v>
      </c>
      <c r="I498">
        <v>1439</v>
      </c>
      <c r="J498">
        <v>502</v>
      </c>
      <c r="K498">
        <v>0</v>
      </c>
      <c r="L498">
        <v>937</v>
      </c>
      <c r="M498">
        <v>502</v>
      </c>
      <c r="N498">
        <v>499</v>
      </c>
      <c r="O498">
        <v>3</v>
      </c>
      <c r="P498">
        <v>189</v>
      </c>
      <c r="Q498">
        <v>310</v>
      </c>
    </row>
    <row r="499" spans="1:17" ht="14.25">
      <c r="A499">
        <v>495</v>
      </c>
      <c r="B499" t="str">
        <f>"160805"</f>
        <v>160805</v>
      </c>
      <c r="C499" t="str">
        <f>"gm. Radłów"</f>
        <v>gm. Radłów</v>
      </c>
      <c r="D499" t="str">
        <f t="shared" si="87"/>
        <v>oleski</v>
      </c>
      <c r="E499" t="str">
        <f t="shared" si="79"/>
        <v>opolskie</v>
      </c>
      <c r="F499">
        <v>2</v>
      </c>
      <c r="G499" t="str">
        <f>"Publiczna Szkoła w Sternalicach, Sternalice 8, Sternalice"</f>
        <v>Publiczna Szkoła w Sternalicach, Sternalice 8, Sternalice</v>
      </c>
      <c r="H499">
        <v>997</v>
      </c>
      <c r="I499">
        <v>967</v>
      </c>
      <c r="J499">
        <v>333</v>
      </c>
      <c r="K499">
        <v>0</v>
      </c>
      <c r="L499">
        <v>634</v>
      </c>
      <c r="M499">
        <v>333</v>
      </c>
      <c r="N499">
        <v>331</v>
      </c>
      <c r="O499">
        <v>2</v>
      </c>
      <c r="P499">
        <v>115</v>
      </c>
      <c r="Q499">
        <v>216</v>
      </c>
    </row>
    <row r="500" spans="1:17" ht="14.25">
      <c r="A500">
        <v>496</v>
      </c>
      <c r="B500" t="str">
        <f>"160805"</f>
        <v>160805</v>
      </c>
      <c r="C500" t="str">
        <f>"gm. Radłów"</f>
        <v>gm. Radłów</v>
      </c>
      <c r="D500" t="str">
        <f t="shared" si="87"/>
        <v>oleski</v>
      </c>
      <c r="E500" t="str">
        <f t="shared" si="79"/>
        <v>opolskie</v>
      </c>
      <c r="F500">
        <v>3</v>
      </c>
      <c r="G500" t="str">
        <f>"Publiczne Przedszkole w Kościeliskach, Kościeliska 30, Kościeliska"</f>
        <v>Publiczne Przedszkole w Kościeliskach, Kościeliska 30, Kościeliska</v>
      </c>
      <c r="H500">
        <v>1043</v>
      </c>
      <c r="I500">
        <v>961</v>
      </c>
      <c r="J500">
        <v>292</v>
      </c>
      <c r="K500">
        <v>0</v>
      </c>
      <c r="L500">
        <v>669</v>
      </c>
      <c r="M500">
        <v>292</v>
      </c>
      <c r="N500">
        <v>282</v>
      </c>
      <c r="O500">
        <v>10</v>
      </c>
      <c r="P500">
        <v>94</v>
      </c>
      <c r="Q500">
        <v>188</v>
      </c>
    </row>
    <row r="501" spans="1:17" ht="14.25">
      <c r="A501">
        <v>497</v>
      </c>
      <c r="B501" t="str">
        <f>"160806"</f>
        <v>160806</v>
      </c>
      <c r="C501" t="str">
        <f>"gm. Rudniki"</f>
        <v>gm. Rudniki</v>
      </c>
      <c r="D501" t="str">
        <f t="shared" si="87"/>
        <v>oleski</v>
      </c>
      <c r="E501" t="str">
        <f t="shared" si="79"/>
        <v>opolskie</v>
      </c>
      <c r="F501">
        <v>1</v>
      </c>
      <c r="G501" t="str">
        <f>"Szkoła Podstawowa im. Tadeusza Kościuszki, Cieciułów 19, Cieciułów"</f>
        <v>Szkoła Podstawowa im. Tadeusza Kościuszki, Cieciułów 19, Cieciułów</v>
      </c>
      <c r="H501">
        <v>1198</v>
      </c>
      <c r="I501">
        <v>1116</v>
      </c>
      <c r="J501">
        <v>471</v>
      </c>
      <c r="K501">
        <v>0</v>
      </c>
      <c r="L501">
        <v>645</v>
      </c>
      <c r="M501">
        <v>471</v>
      </c>
      <c r="N501">
        <v>467</v>
      </c>
      <c r="O501">
        <v>4</v>
      </c>
      <c r="P501">
        <v>265</v>
      </c>
      <c r="Q501">
        <v>202</v>
      </c>
    </row>
    <row r="502" spans="1:17" ht="14.25">
      <c r="A502">
        <v>498</v>
      </c>
      <c r="B502" t="str">
        <f>"160806"</f>
        <v>160806</v>
      </c>
      <c r="C502" t="str">
        <f>"gm. Rudniki"</f>
        <v>gm. Rudniki</v>
      </c>
      <c r="D502" t="str">
        <f t="shared" si="87"/>
        <v>oleski</v>
      </c>
      <c r="E502" t="str">
        <f t="shared" si="79"/>
        <v>opolskie</v>
      </c>
      <c r="F502">
        <v>2</v>
      </c>
      <c r="G502" t="str">
        <f>"Szkoła Podstawowa im. Marszałka Józefa Piłsudskiego, Żytniów 29, Żytniów"</f>
        <v>Szkoła Podstawowa im. Marszałka Józefa Piłsudskiego, Żytniów 29, Żytniów</v>
      </c>
      <c r="H502">
        <v>1120</v>
      </c>
      <c r="I502">
        <v>1040</v>
      </c>
      <c r="J502">
        <v>467</v>
      </c>
      <c r="K502">
        <v>0</v>
      </c>
      <c r="L502">
        <v>573</v>
      </c>
      <c r="M502">
        <v>467</v>
      </c>
      <c r="N502">
        <v>465</v>
      </c>
      <c r="O502">
        <v>2</v>
      </c>
      <c r="P502">
        <v>195</v>
      </c>
      <c r="Q502">
        <v>270</v>
      </c>
    </row>
    <row r="503" spans="1:17" ht="14.25">
      <c r="A503">
        <v>499</v>
      </c>
      <c r="B503" t="str">
        <f>"160806"</f>
        <v>160806</v>
      </c>
      <c r="C503" t="str">
        <f>"gm. Rudniki"</f>
        <v>gm. Rudniki</v>
      </c>
      <c r="D503" t="str">
        <f t="shared" si="87"/>
        <v>oleski</v>
      </c>
      <c r="E503" t="str">
        <f t="shared" si="79"/>
        <v>opolskie</v>
      </c>
      <c r="F503">
        <v>3</v>
      </c>
      <c r="G503" t="str">
        <f>"Gimnazjum Publiczne im. Andrzeja Wajdy, ul. Wieluńska 15, Rudniki"</f>
        <v>Gimnazjum Publiczne im. Andrzeja Wajdy, ul. Wieluńska 15, Rudniki</v>
      </c>
      <c r="H503">
        <v>1693</v>
      </c>
      <c r="I503">
        <v>1518</v>
      </c>
      <c r="J503">
        <v>902</v>
      </c>
      <c r="K503">
        <v>2</v>
      </c>
      <c r="L503">
        <v>616</v>
      </c>
      <c r="M503">
        <v>902</v>
      </c>
      <c r="N503">
        <v>889</v>
      </c>
      <c r="O503">
        <v>13</v>
      </c>
      <c r="P503">
        <v>446</v>
      </c>
      <c r="Q503">
        <v>443</v>
      </c>
    </row>
    <row r="504" spans="1:17" ht="14.25">
      <c r="A504">
        <v>500</v>
      </c>
      <c r="B504" t="str">
        <f>"160806"</f>
        <v>160806</v>
      </c>
      <c r="C504" t="str">
        <f>"gm. Rudniki"</f>
        <v>gm. Rudniki</v>
      </c>
      <c r="D504" t="str">
        <f t="shared" si="87"/>
        <v>oleski</v>
      </c>
      <c r="E504" t="str">
        <f t="shared" si="79"/>
        <v>opolskie</v>
      </c>
      <c r="F504">
        <v>4</v>
      </c>
      <c r="G504" t="str">
        <f>"Szkoła Podstawowa im. Jana Pawła II, Dalachów 217, Dalachów"</f>
        <v>Szkoła Podstawowa im. Jana Pawła II, Dalachów 217, Dalachów</v>
      </c>
      <c r="H504">
        <v>1360</v>
      </c>
      <c r="I504">
        <v>1280</v>
      </c>
      <c r="J504">
        <v>730</v>
      </c>
      <c r="K504">
        <v>0</v>
      </c>
      <c r="L504">
        <v>550</v>
      </c>
      <c r="M504">
        <v>730</v>
      </c>
      <c r="N504">
        <v>725</v>
      </c>
      <c r="O504">
        <v>5</v>
      </c>
      <c r="P504">
        <v>427</v>
      </c>
      <c r="Q504">
        <v>298</v>
      </c>
    </row>
    <row r="505" spans="1:17" ht="14.25">
      <c r="A505">
        <v>501</v>
      </c>
      <c r="B505" t="str">
        <f>"160806"</f>
        <v>160806</v>
      </c>
      <c r="C505" t="str">
        <f>"gm. Rudniki"</f>
        <v>gm. Rudniki</v>
      </c>
      <c r="D505" t="str">
        <f t="shared" si="87"/>
        <v>oleski</v>
      </c>
      <c r="E505" t="str">
        <f t="shared" si="79"/>
        <v>opolskie</v>
      </c>
      <c r="F505">
        <v>5</v>
      </c>
      <c r="G505" t="str">
        <f>"Szkoła Podstawowa im. Mikołaja Kopernika, Mirowszczyzna 43, Jaworzno"</f>
        <v>Szkoła Podstawowa im. Mikołaja Kopernika, Mirowszczyzna 43, Jaworzno</v>
      </c>
      <c r="H505">
        <v>1490</v>
      </c>
      <c r="I505">
        <v>1380</v>
      </c>
      <c r="J505">
        <v>656</v>
      </c>
      <c r="K505">
        <v>0</v>
      </c>
      <c r="L505">
        <v>724</v>
      </c>
      <c r="M505">
        <v>656</v>
      </c>
      <c r="N505">
        <v>645</v>
      </c>
      <c r="O505">
        <v>11</v>
      </c>
      <c r="P505">
        <v>328</v>
      </c>
      <c r="Q505">
        <v>317</v>
      </c>
    </row>
    <row r="506" spans="1:17" ht="14.25">
      <c r="A506">
        <v>502</v>
      </c>
      <c r="B506" t="str">
        <f>"160807"</f>
        <v>160807</v>
      </c>
      <c r="C506" t="str">
        <f>"gm. Zębowice"</f>
        <v>gm. Zębowice</v>
      </c>
      <c r="D506" t="str">
        <f t="shared" si="87"/>
        <v>oleski</v>
      </c>
      <c r="E506" t="str">
        <f t="shared" si="79"/>
        <v>opolskie</v>
      </c>
      <c r="F506">
        <v>1</v>
      </c>
      <c r="G506" t="str">
        <f>"Dom Spotkań, ul. Izydora Murka 1, Zębowice"</f>
        <v>Dom Spotkań, ul. Izydora Murka 1, Zębowice</v>
      </c>
      <c r="H506">
        <v>1374</v>
      </c>
      <c r="I506">
        <v>1278</v>
      </c>
      <c r="J506">
        <v>505</v>
      </c>
      <c r="K506">
        <v>1</v>
      </c>
      <c r="L506">
        <v>773</v>
      </c>
      <c r="M506">
        <v>505</v>
      </c>
      <c r="N506">
        <v>497</v>
      </c>
      <c r="O506">
        <v>8</v>
      </c>
      <c r="P506">
        <v>146</v>
      </c>
      <c r="Q506">
        <v>351</v>
      </c>
    </row>
    <row r="507" spans="1:17" ht="14.25">
      <c r="A507">
        <v>503</v>
      </c>
      <c r="B507" t="str">
        <f>"160807"</f>
        <v>160807</v>
      </c>
      <c r="C507" t="str">
        <f>"gm. Zębowice"</f>
        <v>gm. Zębowice</v>
      </c>
      <c r="D507" t="str">
        <f t="shared" si="87"/>
        <v>oleski</v>
      </c>
      <c r="E507" t="str">
        <f t="shared" si="79"/>
        <v>opolskie</v>
      </c>
      <c r="F507">
        <v>2</v>
      </c>
      <c r="G507" t="str">
        <f>"Publiczna Szkoła Podstawowa, ul. Szkolna 4, Kadłub Wolny"</f>
        <v>Publiczna Szkoła Podstawowa, ul. Szkolna 4, Kadłub Wolny</v>
      </c>
      <c r="H507">
        <v>542</v>
      </c>
      <c r="I507">
        <v>578</v>
      </c>
      <c r="J507">
        <v>169</v>
      </c>
      <c r="K507">
        <v>0</v>
      </c>
      <c r="L507">
        <v>409</v>
      </c>
      <c r="M507">
        <v>169</v>
      </c>
      <c r="N507">
        <v>168</v>
      </c>
      <c r="O507">
        <v>1</v>
      </c>
      <c r="P507">
        <v>57</v>
      </c>
      <c r="Q507">
        <v>111</v>
      </c>
    </row>
    <row r="508" spans="1:17" ht="14.25">
      <c r="A508">
        <v>504</v>
      </c>
      <c r="B508" t="str">
        <f>"160807"</f>
        <v>160807</v>
      </c>
      <c r="C508" t="str">
        <f>"gm. Zębowice"</f>
        <v>gm. Zębowice</v>
      </c>
      <c r="D508" t="str">
        <f t="shared" si="87"/>
        <v>oleski</v>
      </c>
      <c r="E508" t="str">
        <f t="shared" si="79"/>
        <v>opolskie</v>
      </c>
      <c r="F508">
        <v>3</v>
      </c>
      <c r="G508" t="str">
        <f>"Publiczna Szkoła Podstawowa, ul. Szkolna 22, Radawie"</f>
        <v>Publiczna Szkoła Podstawowa, ul. Szkolna 22, Radawie</v>
      </c>
      <c r="H508">
        <v>893</v>
      </c>
      <c r="I508">
        <v>879</v>
      </c>
      <c r="J508">
        <v>286</v>
      </c>
      <c r="K508">
        <v>0</v>
      </c>
      <c r="L508">
        <v>593</v>
      </c>
      <c r="M508">
        <v>286</v>
      </c>
      <c r="N508">
        <v>282</v>
      </c>
      <c r="O508">
        <v>4</v>
      </c>
      <c r="P508">
        <v>90</v>
      </c>
      <c r="Q508">
        <v>192</v>
      </c>
    </row>
    <row r="509" spans="1:17" ht="14.25">
      <c r="A509">
        <v>505</v>
      </c>
      <c r="B509" t="str">
        <f>"160807"</f>
        <v>160807</v>
      </c>
      <c r="C509" t="str">
        <f>"gm. Zębowice"</f>
        <v>gm. Zębowice</v>
      </c>
      <c r="D509" t="str">
        <f t="shared" si="87"/>
        <v>oleski</v>
      </c>
      <c r="E509" t="str">
        <f t="shared" si="79"/>
        <v>opolskie</v>
      </c>
      <c r="F509">
        <v>4</v>
      </c>
      <c r="G509" t="str">
        <f>"Świetlica wiejska, Prusków 27, Prusków"</f>
        <v>Świetlica wiejska, Prusków 27, Prusków</v>
      </c>
      <c r="H509">
        <v>291</v>
      </c>
      <c r="I509">
        <v>319</v>
      </c>
      <c r="J509">
        <v>108</v>
      </c>
      <c r="K509">
        <v>0</v>
      </c>
      <c r="L509">
        <v>211</v>
      </c>
      <c r="M509">
        <v>108</v>
      </c>
      <c r="N509">
        <v>107</v>
      </c>
      <c r="O509">
        <v>1</v>
      </c>
      <c r="P509">
        <v>33</v>
      </c>
      <c r="Q509">
        <v>74</v>
      </c>
    </row>
    <row r="510" spans="1:17" ht="14.25">
      <c r="A510">
        <v>506</v>
      </c>
      <c r="B510" t="str">
        <f>"160901"</f>
        <v>160901</v>
      </c>
      <c r="C510" t="str">
        <f>"gm. Chrząstowice"</f>
        <v>gm. Chrząstowice</v>
      </c>
      <c r="D510" t="str">
        <f aca="true" t="shared" si="88" ref="D510:D541">"opolski"</f>
        <v>opolski</v>
      </c>
      <c r="E510" t="str">
        <f t="shared" si="79"/>
        <v>opolskie</v>
      </c>
      <c r="F510">
        <v>1</v>
      </c>
      <c r="G510" t="str">
        <f>"Szkoła Podstawowa, ul. Szkolna 1, Chrząstowice"</f>
        <v>Szkoła Podstawowa, ul. Szkolna 1, Chrząstowice</v>
      </c>
      <c r="H510">
        <v>1051</v>
      </c>
      <c r="I510">
        <v>967</v>
      </c>
      <c r="J510">
        <v>451</v>
      </c>
      <c r="K510">
        <v>0</v>
      </c>
      <c r="L510">
        <v>516</v>
      </c>
      <c r="M510">
        <v>451</v>
      </c>
      <c r="N510">
        <v>440</v>
      </c>
      <c r="O510">
        <v>11</v>
      </c>
      <c r="P510">
        <v>112</v>
      </c>
      <c r="Q510">
        <v>328</v>
      </c>
    </row>
    <row r="511" spans="1:17" ht="14.25">
      <c r="A511">
        <v>507</v>
      </c>
      <c r="B511" t="str">
        <f>"160901"</f>
        <v>160901</v>
      </c>
      <c r="C511" t="str">
        <f>"gm. Chrząstowice"</f>
        <v>gm. Chrząstowice</v>
      </c>
      <c r="D511" t="str">
        <f t="shared" si="88"/>
        <v>opolski</v>
      </c>
      <c r="E511" t="str">
        <f t="shared" si="79"/>
        <v>opolskie</v>
      </c>
      <c r="F511">
        <v>2</v>
      </c>
      <c r="G511" t="str">
        <f>"Szkoła Podstawowa, ul. Wiejska 53, Dębska Kuźnia"</f>
        <v>Szkoła Podstawowa, ul. Wiejska 53, Dębska Kuźnia</v>
      </c>
      <c r="H511">
        <v>1202</v>
      </c>
      <c r="I511">
        <v>1120</v>
      </c>
      <c r="J511">
        <v>509</v>
      </c>
      <c r="K511">
        <v>0</v>
      </c>
      <c r="L511">
        <v>611</v>
      </c>
      <c r="M511">
        <v>509</v>
      </c>
      <c r="N511">
        <v>497</v>
      </c>
      <c r="O511">
        <v>12</v>
      </c>
      <c r="P511">
        <v>104</v>
      </c>
      <c r="Q511">
        <v>393</v>
      </c>
    </row>
    <row r="512" spans="1:17" ht="14.25">
      <c r="A512">
        <v>508</v>
      </c>
      <c r="B512" t="str">
        <f>"160901"</f>
        <v>160901</v>
      </c>
      <c r="C512" t="str">
        <f>"gm. Chrząstowice"</f>
        <v>gm. Chrząstowice</v>
      </c>
      <c r="D512" t="str">
        <f t="shared" si="88"/>
        <v>opolski</v>
      </c>
      <c r="E512" t="str">
        <f t="shared" si="79"/>
        <v>opolskie</v>
      </c>
      <c r="F512">
        <v>3</v>
      </c>
      <c r="G512" t="str">
        <f>"Szkoła Podstawowa, ul. Wiejska 18, Dębie"</f>
        <v>Szkoła Podstawowa, ul. Wiejska 18, Dębie</v>
      </c>
      <c r="H512">
        <v>928</v>
      </c>
      <c r="I512">
        <v>880</v>
      </c>
      <c r="J512">
        <v>286</v>
      </c>
      <c r="K512">
        <v>0</v>
      </c>
      <c r="L512">
        <v>594</v>
      </c>
      <c r="M512">
        <v>286</v>
      </c>
      <c r="N512">
        <v>281</v>
      </c>
      <c r="O512">
        <v>5</v>
      </c>
      <c r="P512">
        <v>72</v>
      </c>
      <c r="Q512">
        <v>209</v>
      </c>
    </row>
    <row r="513" spans="1:17" ht="14.25">
      <c r="A513">
        <v>509</v>
      </c>
      <c r="B513" t="str">
        <f>"160901"</f>
        <v>160901</v>
      </c>
      <c r="C513" t="str">
        <f>"gm. Chrząstowice"</f>
        <v>gm. Chrząstowice</v>
      </c>
      <c r="D513" t="str">
        <f t="shared" si="88"/>
        <v>opolski</v>
      </c>
      <c r="E513" t="str">
        <f t="shared" si="79"/>
        <v>opolskie</v>
      </c>
      <c r="F513">
        <v>4</v>
      </c>
      <c r="G513" t="str">
        <f>"Klub Wiejski, ul. Dąbrowicka 4, Daniec"</f>
        <v>Klub Wiejski, ul. Dąbrowicka 4, Daniec</v>
      </c>
      <c r="H513">
        <v>1029</v>
      </c>
      <c r="I513">
        <v>961</v>
      </c>
      <c r="J513">
        <v>350</v>
      </c>
      <c r="K513">
        <v>0</v>
      </c>
      <c r="L513">
        <v>611</v>
      </c>
      <c r="M513">
        <v>350</v>
      </c>
      <c r="N513">
        <v>345</v>
      </c>
      <c r="O513">
        <v>5</v>
      </c>
      <c r="P513">
        <v>66</v>
      </c>
      <c r="Q513">
        <v>279</v>
      </c>
    </row>
    <row r="514" spans="1:17" ht="14.25">
      <c r="A514">
        <v>510</v>
      </c>
      <c r="B514" t="str">
        <f>"160901"</f>
        <v>160901</v>
      </c>
      <c r="C514" t="str">
        <f>"gm. Chrząstowice"</f>
        <v>gm. Chrząstowice</v>
      </c>
      <c r="D514" t="str">
        <f t="shared" si="88"/>
        <v>opolski</v>
      </c>
      <c r="E514" t="str">
        <f t="shared" si="79"/>
        <v>opolskie</v>
      </c>
      <c r="F514">
        <v>5</v>
      </c>
      <c r="G514" t="str">
        <f>"Świetlica Wiejska, ul. Szkolna 2, Suchy Bór"</f>
        <v>Świetlica Wiejska, ul. Szkolna 2, Suchy Bór</v>
      </c>
      <c r="H514">
        <v>1210</v>
      </c>
      <c r="I514">
        <v>1119</v>
      </c>
      <c r="J514">
        <v>636</v>
      </c>
      <c r="K514">
        <v>0</v>
      </c>
      <c r="L514">
        <v>483</v>
      </c>
      <c r="M514">
        <v>636</v>
      </c>
      <c r="N514">
        <v>628</v>
      </c>
      <c r="O514">
        <v>8</v>
      </c>
      <c r="P514">
        <v>156</v>
      </c>
      <c r="Q514">
        <v>472</v>
      </c>
    </row>
    <row r="515" spans="1:17" ht="14.25">
      <c r="A515">
        <v>511</v>
      </c>
      <c r="B515" t="str">
        <f aca="true" t="shared" si="89" ref="B515:B522">"160902"</f>
        <v>160902</v>
      </c>
      <c r="C515" t="str">
        <f aca="true" t="shared" si="90" ref="C515:C522">"gm. Dąbrowa"</f>
        <v>gm. Dąbrowa</v>
      </c>
      <c r="D515" t="str">
        <f t="shared" si="88"/>
        <v>opolski</v>
      </c>
      <c r="E515" t="str">
        <f t="shared" si="79"/>
        <v>opolskie</v>
      </c>
      <c r="F515">
        <v>1</v>
      </c>
      <c r="G515" t="str">
        <f>"Remiza OSP, ul. Ks. prof. J. Sztonyka 19, DĄBROWA"</f>
        <v>Remiza OSP, ul. Ks. prof. J. Sztonyka 19, DĄBROWA</v>
      </c>
      <c r="H515">
        <v>984</v>
      </c>
      <c r="I515">
        <v>880</v>
      </c>
      <c r="J515">
        <v>562</v>
      </c>
      <c r="K515">
        <v>0</v>
      </c>
      <c r="L515">
        <v>318</v>
      </c>
      <c r="M515">
        <v>562</v>
      </c>
      <c r="N515">
        <v>554</v>
      </c>
      <c r="O515">
        <v>8</v>
      </c>
      <c r="P515">
        <v>185</v>
      </c>
      <c r="Q515">
        <v>369</v>
      </c>
    </row>
    <row r="516" spans="1:17" ht="14.25">
      <c r="A516">
        <v>512</v>
      </c>
      <c r="B516" t="str">
        <f t="shared" si="89"/>
        <v>160902</v>
      </c>
      <c r="C516" t="str">
        <f t="shared" si="90"/>
        <v>gm. Dąbrowa</v>
      </c>
      <c r="D516" t="str">
        <f t="shared" si="88"/>
        <v>opolski</v>
      </c>
      <c r="E516" t="str">
        <f t="shared" si="79"/>
        <v>opolskie</v>
      </c>
      <c r="F516">
        <v>2</v>
      </c>
      <c r="G516" t="str">
        <f>"Zespół Szkół, ul. Niemodlińska 8d, CHRÓŚCINA"</f>
        <v>Zespół Szkół, ul. Niemodlińska 8d, CHRÓŚCINA</v>
      </c>
      <c r="H516">
        <v>1748</v>
      </c>
      <c r="I516">
        <v>1600</v>
      </c>
      <c r="J516">
        <v>663</v>
      </c>
      <c r="K516">
        <v>0</v>
      </c>
      <c r="L516">
        <v>937</v>
      </c>
      <c r="M516">
        <v>663</v>
      </c>
      <c r="N516">
        <v>653</v>
      </c>
      <c r="O516">
        <v>10</v>
      </c>
      <c r="P516">
        <v>138</v>
      </c>
      <c r="Q516">
        <v>515</v>
      </c>
    </row>
    <row r="517" spans="1:17" ht="14.25">
      <c r="A517">
        <v>513</v>
      </c>
      <c r="B517" t="str">
        <f t="shared" si="89"/>
        <v>160902</v>
      </c>
      <c r="C517" t="str">
        <f t="shared" si="90"/>
        <v>gm. Dąbrowa</v>
      </c>
      <c r="D517" t="str">
        <f t="shared" si="88"/>
        <v>opolski</v>
      </c>
      <c r="E517" t="str">
        <f aca="true" t="shared" si="91" ref="E517:E580">"opolskie"</f>
        <v>opolskie</v>
      </c>
      <c r="F517">
        <v>3</v>
      </c>
      <c r="G517" t="str">
        <f>"Publiczna Szkoła Podstawowa, ul. Szkolna 19, NAROK"</f>
        <v>Publiczna Szkoła Podstawowa, ul. Szkolna 19, NAROK</v>
      </c>
      <c r="H517">
        <v>945</v>
      </c>
      <c r="I517">
        <v>879</v>
      </c>
      <c r="J517">
        <v>384</v>
      </c>
      <c r="K517">
        <v>0</v>
      </c>
      <c r="L517">
        <v>495</v>
      </c>
      <c r="M517">
        <v>384</v>
      </c>
      <c r="N517">
        <v>381</v>
      </c>
      <c r="O517">
        <v>3</v>
      </c>
      <c r="P517">
        <v>104</v>
      </c>
      <c r="Q517">
        <v>277</v>
      </c>
    </row>
    <row r="518" spans="1:17" ht="14.25">
      <c r="A518">
        <v>514</v>
      </c>
      <c r="B518" t="str">
        <f t="shared" si="89"/>
        <v>160902</v>
      </c>
      <c r="C518" t="str">
        <f t="shared" si="90"/>
        <v>gm. Dąbrowa</v>
      </c>
      <c r="D518" t="str">
        <f t="shared" si="88"/>
        <v>opolski</v>
      </c>
      <c r="E518" t="str">
        <f t="shared" si="91"/>
        <v>opolskie</v>
      </c>
      <c r="F518">
        <v>4</v>
      </c>
      <c r="G518" t="str">
        <f>"Publiczna Szkoła Podstawowa, ul. Opolska 34, SŁAWICE"</f>
        <v>Publiczna Szkoła Podstawowa, ul. Opolska 34, SŁAWICE</v>
      </c>
      <c r="H518">
        <v>1226</v>
      </c>
      <c r="I518">
        <v>1120</v>
      </c>
      <c r="J518">
        <v>525</v>
      </c>
      <c r="K518">
        <v>0</v>
      </c>
      <c r="L518">
        <v>595</v>
      </c>
      <c r="M518">
        <v>525</v>
      </c>
      <c r="N518">
        <v>522</v>
      </c>
      <c r="O518">
        <v>3</v>
      </c>
      <c r="P518">
        <v>90</v>
      </c>
      <c r="Q518">
        <v>432</v>
      </c>
    </row>
    <row r="519" spans="1:17" ht="14.25">
      <c r="A519">
        <v>515</v>
      </c>
      <c r="B519" t="str">
        <f t="shared" si="89"/>
        <v>160902</v>
      </c>
      <c r="C519" t="str">
        <f t="shared" si="90"/>
        <v>gm. Dąbrowa</v>
      </c>
      <c r="D519" t="str">
        <f t="shared" si="88"/>
        <v>opolski</v>
      </c>
      <c r="E519" t="str">
        <f t="shared" si="91"/>
        <v>opolskie</v>
      </c>
      <c r="F519">
        <v>5</v>
      </c>
      <c r="G519" t="str">
        <f>"Świetlica wiejska, ul. Długa 18a, CIEPIELOWICE"</f>
        <v>Świetlica wiejska, ul. Długa 18a, CIEPIELOWICE</v>
      </c>
      <c r="H519">
        <v>920</v>
      </c>
      <c r="I519">
        <v>880</v>
      </c>
      <c r="J519">
        <v>443</v>
      </c>
      <c r="K519">
        <v>0</v>
      </c>
      <c r="L519">
        <v>437</v>
      </c>
      <c r="M519">
        <v>443</v>
      </c>
      <c r="N519">
        <v>437</v>
      </c>
      <c r="O519">
        <v>6</v>
      </c>
      <c r="P519">
        <v>177</v>
      </c>
      <c r="Q519">
        <v>260</v>
      </c>
    </row>
    <row r="520" spans="1:17" ht="14.25">
      <c r="A520">
        <v>516</v>
      </c>
      <c r="B520" t="str">
        <f t="shared" si="89"/>
        <v>160902</v>
      </c>
      <c r="C520" t="str">
        <f t="shared" si="90"/>
        <v>gm. Dąbrowa</v>
      </c>
      <c r="D520" t="str">
        <f t="shared" si="88"/>
        <v>opolski</v>
      </c>
      <c r="E520" t="str">
        <f t="shared" si="91"/>
        <v>opolskie</v>
      </c>
      <c r="F520">
        <v>6</v>
      </c>
      <c r="G520" t="str">
        <f>"Publiczne Przedszkole w Dąbrowie Oddział Zamiejscowy, ul. Niemodlińska 54, PRĄDY"</f>
        <v>Publiczne Przedszkole w Dąbrowie Oddział Zamiejscowy, ul. Niemodlińska 54, PRĄDY</v>
      </c>
      <c r="H520">
        <v>342</v>
      </c>
      <c r="I520">
        <v>400</v>
      </c>
      <c r="J520">
        <v>175</v>
      </c>
      <c r="K520">
        <v>0</v>
      </c>
      <c r="L520">
        <v>225</v>
      </c>
      <c r="M520">
        <v>175</v>
      </c>
      <c r="N520">
        <v>172</v>
      </c>
      <c r="O520">
        <v>3</v>
      </c>
      <c r="P520">
        <v>78</v>
      </c>
      <c r="Q520">
        <v>94</v>
      </c>
    </row>
    <row r="521" spans="1:17" ht="14.25">
      <c r="A521">
        <v>517</v>
      </c>
      <c r="B521" t="str">
        <f t="shared" si="89"/>
        <v>160902</v>
      </c>
      <c r="C521" t="str">
        <f t="shared" si="90"/>
        <v>gm. Dąbrowa</v>
      </c>
      <c r="D521" t="str">
        <f t="shared" si="88"/>
        <v>opolski</v>
      </c>
      <c r="E521" t="str">
        <f t="shared" si="91"/>
        <v>opolskie</v>
      </c>
      <c r="F521">
        <v>7</v>
      </c>
      <c r="G521" t="str">
        <f>"Świetlica wiejska, ul. Niemodlińska 61, MECHNICE"</f>
        <v>Świetlica wiejska, ul. Niemodlińska 61, MECHNICE</v>
      </c>
      <c r="H521">
        <v>892</v>
      </c>
      <c r="I521">
        <v>880</v>
      </c>
      <c r="J521">
        <v>348</v>
      </c>
      <c r="K521">
        <v>1</v>
      </c>
      <c r="L521">
        <v>532</v>
      </c>
      <c r="M521">
        <v>348</v>
      </c>
      <c r="N521">
        <v>343</v>
      </c>
      <c r="O521">
        <v>5</v>
      </c>
      <c r="P521">
        <v>67</v>
      </c>
      <c r="Q521">
        <v>276</v>
      </c>
    </row>
    <row r="522" spans="1:17" ht="14.25">
      <c r="A522">
        <v>518</v>
      </c>
      <c r="B522" t="str">
        <f t="shared" si="89"/>
        <v>160902</v>
      </c>
      <c r="C522" t="str">
        <f t="shared" si="90"/>
        <v>gm. Dąbrowa</v>
      </c>
      <c r="D522" t="str">
        <f t="shared" si="88"/>
        <v>opolski</v>
      </c>
      <c r="E522" t="str">
        <f t="shared" si="91"/>
        <v>opolskie</v>
      </c>
      <c r="F522">
        <v>8</v>
      </c>
      <c r="G522" t="str">
        <f>"Świetlica wiejska, ul. Szkolna 2, KARCZÓW"</f>
        <v>Świetlica wiejska, ul. Szkolna 2, KARCZÓW</v>
      </c>
      <c r="H522">
        <v>503</v>
      </c>
      <c r="I522">
        <v>568</v>
      </c>
      <c r="J522">
        <v>324</v>
      </c>
      <c r="K522">
        <v>0</v>
      </c>
      <c r="L522">
        <v>244</v>
      </c>
      <c r="M522">
        <v>324</v>
      </c>
      <c r="N522">
        <v>321</v>
      </c>
      <c r="O522">
        <v>3</v>
      </c>
      <c r="P522">
        <v>100</v>
      </c>
      <c r="Q522">
        <v>221</v>
      </c>
    </row>
    <row r="523" spans="1:17" ht="14.25">
      <c r="A523">
        <v>519</v>
      </c>
      <c r="B523" t="str">
        <f aca="true" t="shared" si="92" ref="B523:B535">"160903"</f>
        <v>160903</v>
      </c>
      <c r="C523" t="str">
        <f aca="true" t="shared" si="93" ref="C523:C535">"gm. Dobrzeń Wielki"</f>
        <v>gm. Dobrzeń Wielki</v>
      </c>
      <c r="D523" t="str">
        <f t="shared" si="88"/>
        <v>opolski</v>
      </c>
      <c r="E523" t="str">
        <f t="shared" si="91"/>
        <v>opolskie</v>
      </c>
      <c r="F523">
        <v>1</v>
      </c>
      <c r="G523" t="str">
        <f>"Zespół Szkół, ul. Kani 1, Czarnowąsy"</f>
        <v>Zespół Szkół, ul. Kani 1, Czarnowąsy</v>
      </c>
      <c r="H523">
        <v>1400</v>
      </c>
      <c r="I523">
        <v>1280</v>
      </c>
      <c r="J523">
        <v>709</v>
      </c>
      <c r="K523">
        <v>0</v>
      </c>
      <c r="L523">
        <v>571</v>
      </c>
      <c r="M523">
        <v>709</v>
      </c>
      <c r="N523">
        <v>697</v>
      </c>
      <c r="O523">
        <v>12</v>
      </c>
      <c r="P523">
        <v>176</v>
      </c>
      <c r="Q523">
        <v>521</v>
      </c>
    </row>
    <row r="524" spans="1:17" ht="14.25">
      <c r="A524">
        <v>520</v>
      </c>
      <c r="B524" t="str">
        <f t="shared" si="92"/>
        <v>160903</v>
      </c>
      <c r="C524" t="str">
        <f t="shared" si="93"/>
        <v>gm. Dobrzeń Wielki</v>
      </c>
      <c r="D524" t="str">
        <f t="shared" si="88"/>
        <v>opolski</v>
      </c>
      <c r="E524" t="str">
        <f t="shared" si="91"/>
        <v>opolskie</v>
      </c>
      <c r="F524">
        <v>2</v>
      </c>
      <c r="G524" t="str">
        <f>"Zespół Szkół, ul. Powstańców Śląskich 1, Chróścice"</f>
        <v>Zespół Szkół, ul. Powstańców Śląskich 1, Chróścice</v>
      </c>
      <c r="H524">
        <v>1213</v>
      </c>
      <c r="I524">
        <v>1120</v>
      </c>
      <c r="J524">
        <v>398</v>
      </c>
      <c r="K524">
        <v>0</v>
      </c>
      <c r="L524">
        <v>722</v>
      </c>
      <c r="M524">
        <v>397</v>
      </c>
      <c r="N524">
        <v>392</v>
      </c>
      <c r="O524">
        <v>5</v>
      </c>
      <c r="P524">
        <v>75</v>
      </c>
      <c r="Q524">
        <v>317</v>
      </c>
    </row>
    <row r="525" spans="1:17" ht="14.25">
      <c r="A525">
        <v>521</v>
      </c>
      <c r="B525" t="str">
        <f t="shared" si="92"/>
        <v>160903</v>
      </c>
      <c r="C525" t="str">
        <f t="shared" si="93"/>
        <v>gm. Dobrzeń Wielki</v>
      </c>
      <c r="D525" t="str">
        <f t="shared" si="88"/>
        <v>opolski</v>
      </c>
      <c r="E525" t="str">
        <f t="shared" si="91"/>
        <v>opolskie</v>
      </c>
      <c r="F525">
        <v>3</v>
      </c>
      <c r="G525" t="str">
        <f>"Zasadnicza Szkoła Zawodowa, ul. Opolska 85, Dobrzeń Mały"</f>
        <v>Zasadnicza Szkoła Zawodowa, ul. Opolska 85, Dobrzeń Mały</v>
      </c>
      <c r="H525">
        <v>819</v>
      </c>
      <c r="I525">
        <v>800</v>
      </c>
      <c r="J525">
        <v>309</v>
      </c>
      <c r="K525">
        <v>1</v>
      </c>
      <c r="L525">
        <v>491</v>
      </c>
      <c r="M525">
        <v>309</v>
      </c>
      <c r="N525">
        <v>307</v>
      </c>
      <c r="O525">
        <v>2</v>
      </c>
      <c r="P525">
        <v>67</v>
      </c>
      <c r="Q525">
        <v>240</v>
      </c>
    </row>
    <row r="526" spans="1:17" ht="14.25">
      <c r="A526">
        <v>522</v>
      </c>
      <c r="B526" t="str">
        <f t="shared" si="92"/>
        <v>160903</v>
      </c>
      <c r="C526" t="str">
        <f t="shared" si="93"/>
        <v>gm. Dobrzeń Wielki</v>
      </c>
      <c r="D526" t="str">
        <f t="shared" si="88"/>
        <v>opolski</v>
      </c>
      <c r="E526" t="str">
        <f t="shared" si="91"/>
        <v>opolskie</v>
      </c>
      <c r="F526">
        <v>4</v>
      </c>
      <c r="G526" t="str">
        <f>"Gminny Ośrodek Kultury, ul. Namysłowska 20, Dobrzeń Wielki"</f>
        <v>Gminny Ośrodek Kultury, ul. Namysłowska 20, Dobrzeń Wielki</v>
      </c>
      <c r="H526">
        <v>1962</v>
      </c>
      <c r="I526">
        <v>1840</v>
      </c>
      <c r="J526">
        <v>946</v>
      </c>
      <c r="K526">
        <v>0</v>
      </c>
      <c r="L526">
        <v>894</v>
      </c>
      <c r="M526">
        <v>946</v>
      </c>
      <c r="N526">
        <v>935</v>
      </c>
      <c r="O526">
        <v>11</v>
      </c>
      <c r="P526">
        <v>228</v>
      </c>
      <c r="Q526">
        <v>707</v>
      </c>
    </row>
    <row r="527" spans="1:17" ht="14.25">
      <c r="A527">
        <v>523</v>
      </c>
      <c r="B527" t="str">
        <f t="shared" si="92"/>
        <v>160903</v>
      </c>
      <c r="C527" t="str">
        <f t="shared" si="93"/>
        <v>gm. Dobrzeń Wielki</v>
      </c>
      <c r="D527" t="str">
        <f t="shared" si="88"/>
        <v>opolski</v>
      </c>
      <c r="E527" t="str">
        <f t="shared" si="91"/>
        <v>opolskie</v>
      </c>
      <c r="F527">
        <v>5</v>
      </c>
      <c r="G527" t="str">
        <f>"Zespół Szkół, ul. 1 Maja 6a, Kup"</f>
        <v>Zespół Szkół, ul. 1 Maja 6a, Kup</v>
      </c>
      <c r="H527">
        <v>990</v>
      </c>
      <c r="I527">
        <v>960</v>
      </c>
      <c r="J527">
        <v>387</v>
      </c>
      <c r="K527">
        <v>0</v>
      </c>
      <c r="L527">
        <v>573</v>
      </c>
      <c r="M527">
        <v>387</v>
      </c>
      <c r="N527">
        <v>386</v>
      </c>
      <c r="O527">
        <v>1</v>
      </c>
      <c r="P527">
        <v>93</v>
      </c>
      <c r="Q527">
        <v>293</v>
      </c>
    </row>
    <row r="528" spans="1:17" ht="14.25">
      <c r="A528">
        <v>524</v>
      </c>
      <c r="B528" t="str">
        <f t="shared" si="92"/>
        <v>160903</v>
      </c>
      <c r="C528" t="str">
        <f t="shared" si="93"/>
        <v>gm. Dobrzeń Wielki</v>
      </c>
      <c r="D528" t="str">
        <f t="shared" si="88"/>
        <v>opolski</v>
      </c>
      <c r="E528" t="str">
        <f t="shared" si="91"/>
        <v>opolskie</v>
      </c>
      <c r="F528">
        <v>6</v>
      </c>
      <c r="G528" t="str">
        <f>"Sala Wiejska, ul. Mickiewicza 2, Świerkle"</f>
        <v>Sala Wiejska, ul. Mickiewicza 2, Świerkle</v>
      </c>
      <c r="H528">
        <v>451</v>
      </c>
      <c r="I528">
        <v>480</v>
      </c>
      <c r="J528">
        <v>200</v>
      </c>
      <c r="K528">
        <v>0</v>
      </c>
      <c r="L528">
        <v>280</v>
      </c>
      <c r="M528">
        <v>200</v>
      </c>
      <c r="N528">
        <v>196</v>
      </c>
      <c r="O528">
        <v>4</v>
      </c>
      <c r="P528">
        <v>48</v>
      </c>
      <c r="Q528">
        <v>148</v>
      </c>
    </row>
    <row r="529" spans="1:17" ht="14.25">
      <c r="A529">
        <v>525</v>
      </c>
      <c r="B529" t="str">
        <f t="shared" si="92"/>
        <v>160903</v>
      </c>
      <c r="C529" t="str">
        <f t="shared" si="93"/>
        <v>gm. Dobrzeń Wielki</v>
      </c>
      <c r="D529" t="str">
        <f t="shared" si="88"/>
        <v>opolski</v>
      </c>
      <c r="E529" t="str">
        <f t="shared" si="91"/>
        <v>opolskie</v>
      </c>
      <c r="F529">
        <v>7</v>
      </c>
      <c r="G529" t="str">
        <f>"Zespół Szkół, ul. Powstańców Śląskich 1, Chróścice"</f>
        <v>Zespół Szkół, ul. Powstańców Śląskich 1, Chróścice</v>
      </c>
      <c r="H529">
        <v>1228</v>
      </c>
      <c r="I529">
        <v>1120</v>
      </c>
      <c r="J529">
        <v>417</v>
      </c>
      <c r="K529">
        <v>0</v>
      </c>
      <c r="L529">
        <v>703</v>
      </c>
      <c r="M529">
        <v>417</v>
      </c>
      <c r="N529">
        <v>410</v>
      </c>
      <c r="O529">
        <v>7</v>
      </c>
      <c r="P529">
        <v>66</v>
      </c>
      <c r="Q529">
        <v>344</v>
      </c>
    </row>
    <row r="530" spans="1:17" ht="14.25">
      <c r="A530">
        <v>526</v>
      </c>
      <c r="B530" t="str">
        <f t="shared" si="92"/>
        <v>160903</v>
      </c>
      <c r="C530" t="str">
        <f t="shared" si="93"/>
        <v>gm. Dobrzeń Wielki</v>
      </c>
      <c r="D530" t="str">
        <f t="shared" si="88"/>
        <v>opolski</v>
      </c>
      <c r="E530" t="str">
        <f t="shared" si="91"/>
        <v>opolskie</v>
      </c>
      <c r="F530">
        <v>8</v>
      </c>
      <c r="G530" t="str">
        <f>"Zespół Szkół, ul. Namysłowska 94, Dobrzeń Wielki"</f>
        <v>Zespół Szkół, ul. Namysłowska 94, Dobrzeń Wielki</v>
      </c>
      <c r="H530">
        <v>1409</v>
      </c>
      <c r="I530">
        <v>1280</v>
      </c>
      <c r="J530">
        <v>537</v>
      </c>
      <c r="K530">
        <v>0</v>
      </c>
      <c r="L530">
        <v>743</v>
      </c>
      <c r="M530">
        <v>537</v>
      </c>
      <c r="N530">
        <v>535</v>
      </c>
      <c r="O530">
        <v>2</v>
      </c>
      <c r="P530">
        <v>124</v>
      </c>
      <c r="Q530">
        <v>411</v>
      </c>
    </row>
    <row r="531" spans="1:17" ht="14.25">
      <c r="A531">
        <v>527</v>
      </c>
      <c r="B531" t="str">
        <f t="shared" si="92"/>
        <v>160903</v>
      </c>
      <c r="C531" t="str">
        <f t="shared" si="93"/>
        <v>gm. Dobrzeń Wielki</v>
      </c>
      <c r="D531" t="str">
        <f t="shared" si="88"/>
        <v>opolski</v>
      </c>
      <c r="E531" t="str">
        <f t="shared" si="91"/>
        <v>opolskie</v>
      </c>
      <c r="F531">
        <v>9</v>
      </c>
      <c r="G531" t="str">
        <f>"Publiczne Przedszkole, ul. Kani 1, Czarnowąsy"</f>
        <v>Publiczne Przedszkole, ul. Kani 1, Czarnowąsy</v>
      </c>
      <c r="H531">
        <v>331</v>
      </c>
      <c r="I531">
        <v>320</v>
      </c>
      <c r="J531">
        <v>163</v>
      </c>
      <c r="K531">
        <v>0</v>
      </c>
      <c r="L531">
        <v>157</v>
      </c>
      <c r="M531">
        <v>163</v>
      </c>
      <c r="N531">
        <v>163</v>
      </c>
      <c r="O531">
        <v>0</v>
      </c>
      <c r="P531">
        <v>24</v>
      </c>
      <c r="Q531">
        <v>139</v>
      </c>
    </row>
    <row r="532" spans="1:17" ht="14.25">
      <c r="A532">
        <v>528</v>
      </c>
      <c r="B532" t="str">
        <f t="shared" si="92"/>
        <v>160903</v>
      </c>
      <c r="C532" t="str">
        <f t="shared" si="93"/>
        <v>gm. Dobrzeń Wielki</v>
      </c>
      <c r="D532" t="str">
        <f t="shared" si="88"/>
        <v>opolski</v>
      </c>
      <c r="E532" t="str">
        <f t="shared" si="91"/>
        <v>opolskie</v>
      </c>
      <c r="F532">
        <v>10</v>
      </c>
      <c r="G532" t="str">
        <f>"Szkoła Podstawowa, ul. Szkolna 12, Borki"</f>
        <v>Szkoła Podstawowa, ul. Szkolna 12, Borki</v>
      </c>
      <c r="H532">
        <v>444</v>
      </c>
      <c r="I532">
        <v>480</v>
      </c>
      <c r="J532">
        <v>175</v>
      </c>
      <c r="K532">
        <v>0</v>
      </c>
      <c r="L532">
        <v>305</v>
      </c>
      <c r="M532">
        <v>175</v>
      </c>
      <c r="N532">
        <v>175</v>
      </c>
      <c r="O532">
        <v>0</v>
      </c>
      <c r="P532">
        <v>25</v>
      </c>
      <c r="Q532">
        <v>150</v>
      </c>
    </row>
    <row r="533" spans="1:17" ht="14.25">
      <c r="A533">
        <v>529</v>
      </c>
      <c r="B533" t="str">
        <f t="shared" si="92"/>
        <v>160903</v>
      </c>
      <c r="C533" t="str">
        <f t="shared" si="93"/>
        <v>gm. Dobrzeń Wielki</v>
      </c>
      <c r="D533" t="str">
        <f t="shared" si="88"/>
        <v>opolski</v>
      </c>
      <c r="E533" t="str">
        <f t="shared" si="91"/>
        <v>opolskie</v>
      </c>
      <c r="F533">
        <v>11</v>
      </c>
      <c r="G533" t="str">
        <f>"Zespół Szkół - Stołówka, ul. Kani 1, Czarnowąsy"</f>
        <v>Zespół Szkół - Stołówka, ul. Kani 1, Czarnowąsy</v>
      </c>
      <c r="H533">
        <v>1216</v>
      </c>
      <c r="I533">
        <v>1120</v>
      </c>
      <c r="J533">
        <v>504</v>
      </c>
      <c r="K533">
        <v>1</v>
      </c>
      <c r="L533">
        <v>616</v>
      </c>
      <c r="M533">
        <v>504</v>
      </c>
      <c r="N533">
        <v>495</v>
      </c>
      <c r="O533">
        <v>9</v>
      </c>
      <c r="P533">
        <v>138</v>
      </c>
      <c r="Q533">
        <v>357</v>
      </c>
    </row>
    <row r="534" spans="1:17" ht="14.25">
      <c r="A534">
        <v>530</v>
      </c>
      <c r="B534" t="str">
        <f t="shared" si="92"/>
        <v>160903</v>
      </c>
      <c r="C534" t="str">
        <f t="shared" si="93"/>
        <v>gm. Dobrzeń Wielki</v>
      </c>
      <c r="D534" t="str">
        <f t="shared" si="88"/>
        <v>opolski</v>
      </c>
      <c r="E534" t="str">
        <f t="shared" si="91"/>
        <v>opolskie</v>
      </c>
      <c r="F534">
        <v>12</v>
      </c>
      <c r="G534" t="str">
        <f>"Dom Pomocy Społecznej, ul. Kościelna 11, Dobrzeń Wielki"</f>
        <v>Dom Pomocy Społecznej, ul. Kościelna 11, Dobrzeń Wielki</v>
      </c>
      <c r="H534">
        <v>74</v>
      </c>
      <c r="I534">
        <v>74</v>
      </c>
      <c r="J534">
        <v>61</v>
      </c>
      <c r="K534">
        <v>0</v>
      </c>
      <c r="L534">
        <v>13</v>
      </c>
      <c r="M534">
        <v>61</v>
      </c>
      <c r="N534">
        <v>59</v>
      </c>
      <c r="O534">
        <v>2</v>
      </c>
      <c r="P534">
        <v>39</v>
      </c>
      <c r="Q534">
        <v>20</v>
      </c>
    </row>
    <row r="535" spans="1:17" ht="14.25">
      <c r="A535">
        <v>531</v>
      </c>
      <c r="B535" t="str">
        <f t="shared" si="92"/>
        <v>160903</v>
      </c>
      <c r="C535" t="str">
        <f t="shared" si="93"/>
        <v>gm. Dobrzeń Wielki</v>
      </c>
      <c r="D535" t="str">
        <f t="shared" si="88"/>
        <v>opolski</v>
      </c>
      <c r="E535" t="str">
        <f t="shared" si="91"/>
        <v>opolskie</v>
      </c>
      <c r="F535">
        <v>13</v>
      </c>
      <c r="G535" t="str">
        <f>"Samodzielny Publiczny Zespół Szpitali Pulmonologiczno-Reumatologicznych, ul. Miarki 14, Kup"</f>
        <v>Samodzielny Publiczny Zespół Szpitali Pulmonologiczno-Reumatologicznych, ul. Miarki 14, Kup</v>
      </c>
      <c r="H535">
        <v>148</v>
      </c>
      <c r="I535">
        <v>100</v>
      </c>
      <c r="J535">
        <v>33</v>
      </c>
      <c r="K535">
        <v>0</v>
      </c>
      <c r="L535">
        <v>67</v>
      </c>
      <c r="M535">
        <v>33</v>
      </c>
      <c r="N535">
        <v>33</v>
      </c>
      <c r="O535">
        <v>0</v>
      </c>
      <c r="P535">
        <v>12</v>
      </c>
      <c r="Q535">
        <v>21</v>
      </c>
    </row>
    <row r="536" spans="1:17" ht="14.25">
      <c r="A536">
        <v>532</v>
      </c>
      <c r="B536" t="str">
        <f aca="true" t="shared" si="94" ref="B536:B542">"160904"</f>
        <v>160904</v>
      </c>
      <c r="C536" t="str">
        <f aca="true" t="shared" si="95" ref="C536:C542">"gm. Komprachcice"</f>
        <v>gm. Komprachcice</v>
      </c>
      <c r="D536" t="str">
        <f t="shared" si="88"/>
        <v>opolski</v>
      </c>
      <c r="E536" t="str">
        <f t="shared" si="91"/>
        <v>opolskie</v>
      </c>
      <c r="F536">
        <v>1</v>
      </c>
      <c r="G536" t="str">
        <f>"Urząd Gminy, ul. Kolejowa 3, Komprachcice"</f>
        <v>Urząd Gminy, ul. Kolejowa 3, Komprachcice</v>
      </c>
      <c r="H536">
        <v>2294</v>
      </c>
      <c r="I536">
        <v>2077</v>
      </c>
      <c r="J536">
        <v>950</v>
      </c>
      <c r="K536">
        <v>0</v>
      </c>
      <c r="L536">
        <v>1127</v>
      </c>
      <c r="M536">
        <v>950</v>
      </c>
      <c r="N536">
        <v>926</v>
      </c>
      <c r="O536">
        <v>24</v>
      </c>
      <c r="P536">
        <v>185</v>
      </c>
      <c r="Q536">
        <v>741</v>
      </c>
    </row>
    <row r="537" spans="1:17" ht="14.25">
      <c r="A537">
        <v>533</v>
      </c>
      <c r="B537" t="str">
        <f t="shared" si="94"/>
        <v>160904</v>
      </c>
      <c r="C537" t="str">
        <f t="shared" si="95"/>
        <v>gm. Komprachcice</v>
      </c>
      <c r="D537" t="str">
        <f t="shared" si="88"/>
        <v>opolski</v>
      </c>
      <c r="E537" t="str">
        <f t="shared" si="91"/>
        <v>opolskie</v>
      </c>
      <c r="F537">
        <v>2</v>
      </c>
      <c r="G537" t="str">
        <f>"Publiczna Szkoła Podstawowa, ul. Nyska 1, Chmielowice"</f>
        <v>Publiczna Szkoła Podstawowa, ul. Nyska 1, Chmielowice</v>
      </c>
      <c r="H537">
        <v>1753</v>
      </c>
      <c r="I537">
        <v>1600</v>
      </c>
      <c r="J537">
        <v>969</v>
      </c>
      <c r="K537">
        <v>0</v>
      </c>
      <c r="L537">
        <v>631</v>
      </c>
      <c r="M537">
        <v>969</v>
      </c>
      <c r="N537">
        <v>954</v>
      </c>
      <c r="O537">
        <v>15</v>
      </c>
      <c r="P537">
        <v>218</v>
      </c>
      <c r="Q537">
        <v>736</v>
      </c>
    </row>
    <row r="538" spans="1:17" ht="14.25">
      <c r="A538">
        <v>534</v>
      </c>
      <c r="B538" t="str">
        <f t="shared" si="94"/>
        <v>160904</v>
      </c>
      <c r="C538" t="str">
        <f t="shared" si="95"/>
        <v>gm. Komprachcice</v>
      </c>
      <c r="D538" t="str">
        <f t="shared" si="88"/>
        <v>opolski</v>
      </c>
      <c r="E538" t="str">
        <f t="shared" si="91"/>
        <v>opolskie</v>
      </c>
      <c r="F538">
        <v>3</v>
      </c>
      <c r="G538" t="str">
        <f>"Publiczna Stowarzyszeniowa Szkoła Podstawowa, ul. Opolska 34, Ochodze"</f>
        <v>Publiczna Stowarzyszeniowa Szkoła Podstawowa, ul. Opolska 34, Ochodze</v>
      </c>
      <c r="H538">
        <v>937</v>
      </c>
      <c r="I538">
        <v>880</v>
      </c>
      <c r="J538">
        <v>339</v>
      </c>
      <c r="K538">
        <v>0</v>
      </c>
      <c r="L538">
        <v>541</v>
      </c>
      <c r="M538">
        <v>339</v>
      </c>
      <c r="N538">
        <v>339</v>
      </c>
      <c r="O538">
        <v>0</v>
      </c>
      <c r="P538">
        <v>69</v>
      </c>
      <c r="Q538">
        <v>270</v>
      </c>
    </row>
    <row r="539" spans="1:17" ht="14.25">
      <c r="A539">
        <v>535</v>
      </c>
      <c r="B539" t="str">
        <f t="shared" si="94"/>
        <v>160904</v>
      </c>
      <c r="C539" t="str">
        <f t="shared" si="95"/>
        <v>gm. Komprachcice</v>
      </c>
      <c r="D539" t="str">
        <f t="shared" si="88"/>
        <v>opolski</v>
      </c>
      <c r="E539" t="str">
        <f t="shared" si="91"/>
        <v>opolskie</v>
      </c>
      <c r="F539">
        <v>4</v>
      </c>
      <c r="G539" t="str">
        <f>"Publiczna Szkoła Podstawowa, ul. Opolska 52, Domecko"</f>
        <v>Publiczna Szkoła Podstawowa, ul. Opolska 52, Domecko</v>
      </c>
      <c r="H539">
        <v>1042</v>
      </c>
      <c r="I539">
        <v>966</v>
      </c>
      <c r="J539">
        <v>365</v>
      </c>
      <c r="K539">
        <v>0</v>
      </c>
      <c r="L539">
        <v>601</v>
      </c>
      <c r="M539">
        <v>365</v>
      </c>
      <c r="N539">
        <v>360</v>
      </c>
      <c r="O539">
        <v>5</v>
      </c>
      <c r="P539">
        <v>60</v>
      </c>
      <c r="Q539">
        <v>300</v>
      </c>
    </row>
    <row r="540" spans="1:17" ht="14.25">
      <c r="A540">
        <v>536</v>
      </c>
      <c r="B540" t="str">
        <f t="shared" si="94"/>
        <v>160904</v>
      </c>
      <c r="C540" t="str">
        <f t="shared" si="95"/>
        <v>gm. Komprachcice</v>
      </c>
      <c r="D540" t="str">
        <f t="shared" si="88"/>
        <v>opolski</v>
      </c>
      <c r="E540" t="str">
        <f t="shared" si="91"/>
        <v>opolskie</v>
      </c>
      <c r="F540">
        <v>5</v>
      </c>
      <c r="G540" t="str">
        <f>"Publiczna Szkoła Podstawowa, ul. Lipowa 56, Polska Nowa Wieś"</f>
        <v>Publiczna Szkoła Podstawowa, ul. Lipowa 56, Polska Nowa Wieś</v>
      </c>
      <c r="H540">
        <v>1511</v>
      </c>
      <c r="I540">
        <v>1440</v>
      </c>
      <c r="J540">
        <v>615</v>
      </c>
      <c r="K540">
        <v>0</v>
      </c>
      <c r="L540">
        <v>825</v>
      </c>
      <c r="M540">
        <v>615</v>
      </c>
      <c r="N540">
        <v>606</v>
      </c>
      <c r="O540">
        <v>9</v>
      </c>
      <c r="P540">
        <v>142</v>
      </c>
      <c r="Q540">
        <v>464</v>
      </c>
    </row>
    <row r="541" spans="1:17" ht="14.25">
      <c r="A541">
        <v>537</v>
      </c>
      <c r="B541" t="str">
        <f t="shared" si="94"/>
        <v>160904</v>
      </c>
      <c r="C541" t="str">
        <f t="shared" si="95"/>
        <v>gm. Komprachcice</v>
      </c>
      <c r="D541" t="str">
        <f t="shared" si="88"/>
        <v>opolski</v>
      </c>
      <c r="E541" t="str">
        <f t="shared" si="91"/>
        <v>opolskie</v>
      </c>
      <c r="F541">
        <v>6</v>
      </c>
      <c r="G541" t="str">
        <f>"Publiczna Szkoła Podstawowa, ul. Nowowiejska 14, Wawelno"</f>
        <v>Publiczna Szkoła Podstawowa, ul. Nowowiejska 14, Wawelno</v>
      </c>
      <c r="H541">
        <v>917</v>
      </c>
      <c r="I541">
        <v>879</v>
      </c>
      <c r="J541">
        <v>306</v>
      </c>
      <c r="K541">
        <v>0</v>
      </c>
      <c r="L541">
        <v>573</v>
      </c>
      <c r="M541">
        <v>306</v>
      </c>
      <c r="N541">
        <v>306</v>
      </c>
      <c r="O541">
        <v>0</v>
      </c>
      <c r="P541">
        <v>50</v>
      </c>
      <c r="Q541">
        <v>256</v>
      </c>
    </row>
    <row r="542" spans="1:17" ht="14.25">
      <c r="A542">
        <v>538</v>
      </c>
      <c r="B542" t="str">
        <f t="shared" si="94"/>
        <v>160904</v>
      </c>
      <c r="C542" t="str">
        <f t="shared" si="95"/>
        <v>gm. Komprachcice</v>
      </c>
      <c r="D542" t="str">
        <f aca="true" t="shared" si="96" ref="D542:D573">"opolski"</f>
        <v>opolski</v>
      </c>
      <c r="E542" t="str">
        <f t="shared" si="91"/>
        <v>opolskie</v>
      </c>
      <c r="F542">
        <v>7</v>
      </c>
      <c r="G542" t="str">
        <f>"Świetlica, ul.Opolska 20, Osiny"</f>
        <v>Świetlica, ul.Opolska 20, Osiny</v>
      </c>
      <c r="H542">
        <v>405</v>
      </c>
      <c r="I542">
        <v>400</v>
      </c>
      <c r="J542">
        <v>194</v>
      </c>
      <c r="K542">
        <v>0</v>
      </c>
      <c r="L542">
        <v>206</v>
      </c>
      <c r="M542">
        <v>194</v>
      </c>
      <c r="N542">
        <v>193</v>
      </c>
      <c r="O542">
        <v>1</v>
      </c>
      <c r="P542">
        <v>44</v>
      </c>
      <c r="Q542">
        <v>149</v>
      </c>
    </row>
    <row r="543" spans="1:17" ht="14.25">
      <c r="A543">
        <v>539</v>
      </c>
      <c r="B543" t="str">
        <f>"160905"</f>
        <v>160905</v>
      </c>
      <c r="C543" t="str">
        <f>"gm. Łubniany"</f>
        <v>gm. Łubniany</v>
      </c>
      <c r="D543" t="str">
        <f t="shared" si="96"/>
        <v>opolski</v>
      </c>
      <c r="E543" t="str">
        <f t="shared" si="91"/>
        <v>opolskie</v>
      </c>
      <c r="F543">
        <v>1</v>
      </c>
      <c r="G543" t="str">
        <f>"Remiza Ochotniczej Straży Pożarnej, ul.Powstańców Śląskich 66, Brynica"</f>
        <v>Remiza Ochotniczej Straży Pożarnej, ul.Powstańców Śląskich 66, Brynica</v>
      </c>
      <c r="H543">
        <v>1062</v>
      </c>
      <c r="I543">
        <v>1040</v>
      </c>
      <c r="J543">
        <v>406</v>
      </c>
      <c r="K543">
        <v>0</v>
      </c>
      <c r="L543">
        <v>634</v>
      </c>
      <c r="M543">
        <v>406</v>
      </c>
      <c r="N543">
        <v>405</v>
      </c>
      <c r="O543">
        <v>1</v>
      </c>
      <c r="P543">
        <v>73</v>
      </c>
      <c r="Q543">
        <v>332</v>
      </c>
    </row>
    <row r="544" spans="1:17" ht="14.25">
      <c r="A544">
        <v>540</v>
      </c>
      <c r="B544" t="str">
        <f>"160905"</f>
        <v>160905</v>
      </c>
      <c r="C544" t="str">
        <f>"gm. Łubniany"</f>
        <v>gm. Łubniany</v>
      </c>
      <c r="D544" t="str">
        <f t="shared" si="96"/>
        <v>opolski</v>
      </c>
      <c r="E544" t="str">
        <f t="shared" si="91"/>
        <v>opolskie</v>
      </c>
      <c r="F544">
        <v>2</v>
      </c>
      <c r="G544" t="str">
        <f>"Szkoła Podstawowa, ul.Wolności 15, Jełowa"</f>
        <v>Szkoła Podstawowa, ul.Wolności 15, Jełowa</v>
      </c>
      <c r="H544">
        <v>1881</v>
      </c>
      <c r="I544">
        <v>1680</v>
      </c>
      <c r="J544">
        <v>675</v>
      </c>
      <c r="K544">
        <v>0</v>
      </c>
      <c r="L544">
        <v>1005</v>
      </c>
      <c r="M544">
        <v>675</v>
      </c>
      <c r="N544">
        <v>668</v>
      </c>
      <c r="O544">
        <v>7</v>
      </c>
      <c r="P544">
        <v>103</v>
      </c>
      <c r="Q544">
        <v>565</v>
      </c>
    </row>
    <row r="545" spans="1:17" ht="14.25">
      <c r="A545">
        <v>541</v>
      </c>
      <c r="B545" t="str">
        <f>"160905"</f>
        <v>160905</v>
      </c>
      <c r="C545" t="str">
        <f>"gm. Łubniany"</f>
        <v>gm. Łubniany</v>
      </c>
      <c r="D545" t="str">
        <f t="shared" si="96"/>
        <v>opolski</v>
      </c>
      <c r="E545" t="str">
        <f t="shared" si="91"/>
        <v>opolskie</v>
      </c>
      <c r="F545">
        <v>3</v>
      </c>
      <c r="G545" t="str">
        <f>"Szkoła Podstawowa, ul.Szkolna 4, Luboszyce"</f>
        <v>Szkoła Podstawowa, ul.Szkolna 4, Luboszyce</v>
      </c>
      <c r="H545">
        <v>2327</v>
      </c>
      <c r="I545">
        <v>2080</v>
      </c>
      <c r="J545">
        <v>1023</v>
      </c>
      <c r="K545">
        <v>0</v>
      </c>
      <c r="L545">
        <v>1057</v>
      </c>
      <c r="M545">
        <v>1023</v>
      </c>
      <c r="N545">
        <v>1017</v>
      </c>
      <c r="O545">
        <v>6</v>
      </c>
      <c r="P545">
        <v>209</v>
      </c>
      <c r="Q545">
        <v>808</v>
      </c>
    </row>
    <row r="546" spans="1:17" ht="14.25">
      <c r="A546">
        <v>542</v>
      </c>
      <c r="B546" t="str">
        <f>"160905"</f>
        <v>160905</v>
      </c>
      <c r="C546" t="str">
        <f>"gm. Łubniany"</f>
        <v>gm. Łubniany</v>
      </c>
      <c r="D546" t="str">
        <f t="shared" si="96"/>
        <v>opolski</v>
      </c>
      <c r="E546" t="str">
        <f t="shared" si="91"/>
        <v>opolskie</v>
      </c>
      <c r="F546">
        <v>4</v>
      </c>
      <c r="G546" t="str">
        <f>"Samodzielny Publiczny Zakład Opieki Zdrowotnej, ul.Opolska 53A, Łubniany"</f>
        <v>Samodzielny Publiczny Zakład Opieki Zdrowotnej, ul.Opolska 53A, Łubniany</v>
      </c>
      <c r="H546">
        <v>2450</v>
      </c>
      <c r="I546">
        <v>2240</v>
      </c>
      <c r="J546">
        <v>946</v>
      </c>
      <c r="K546">
        <v>0</v>
      </c>
      <c r="L546">
        <v>1294</v>
      </c>
      <c r="M546">
        <v>945</v>
      </c>
      <c r="N546">
        <v>936</v>
      </c>
      <c r="O546">
        <v>9</v>
      </c>
      <c r="P546">
        <v>153</v>
      </c>
      <c r="Q546">
        <v>783</v>
      </c>
    </row>
    <row r="547" spans="1:17" ht="14.25">
      <c r="A547">
        <v>543</v>
      </c>
      <c r="B547" t="str">
        <f>"160906"</f>
        <v>160906</v>
      </c>
      <c r="C547" t="str">
        <f>"gm. Murów"</f>
        <v>gm. Murów</v>
      </c>
      <c r="D547" t="str">
        <f t="shared" si="96"/>
        <v>opolski</v>
      </c>
      <c r="E547" t="str">
        <f t="shared" si="91"/>
        <v>opolskie</v>
      </c>
      <c r="F547">
        <v>1</v>
      </c>
      <c r="G547" t="str">
        <f>"Świetlica Wiejska, ul. Wiejska 36, Dębiniec"</f>
        <v>Świetlica Wiejska, ul. Wiejska 36, Dębiniec</v>
      </c>
      <c r="H547">
        <v>529</v>
      </c>
      <c r="I547">
        <v>500</v>
      </c>
      <c r="J547">
        <v>159</v>
      </c>
      <c r="K547">
        <v>0</v>
      </c>
      <c r="L547">
        <v>341</v>
      </c>
      <c r="M547">
        <v>159</v>
      </c>
      <c r="N547">
        <v>159</v>
      </c>
      <c r="O547">
        <v>0</v>
      </c>
      <c r="P547">
        <v>32</v>
      </c>
      <c r="Q547">
        <v>127</v>
      </c>
    </row>
    <row r="548" spans="1:17" ht="14.25">
      <c r="A548">
        <v>544</v>
      </c>
      <c r="B548" t="str">
        <f>"160906"</f>
        <v>160906</v>
      </c>
      <c r="C548" t="str">
        <f>"gm. Murów"</f>
        <v>gm. Murów</v>
      </c>
      <c r="D548" t="str">
        <f t="shared" si="96"/>
        <v>opolski</v>
      </c>
      <c r="E548" t="str">
        <f t="shared" si="91"/>
        <v>opolskie</v>
      </c>
      <c r="F548">
        <v>2</v>
      </c>
      <c r="G548" t="str">
        <f>"Publiczna Szkoła Podstawowa, ul. Wolności 22, Murów"</f>
        <v>Publiczna Szkoła Podstawowa, ul. Wolności 22, Murów</v>
      </c>
      <c r="H548">
        <v>1425</v>
      </c>
      <c r="I548">
        <v>1379</v>
      </c>
      <c r="J548">
        <v>656</v>
      </c>
      <c r="K548">
        <v>0</v>
      </c>
      <c r="L548">
        <v>723</v>
      </c>
      <c r="M548">
        <v>656</v>
      </c>
      <c r="N548">
        <v>650</v>
      </c>
      <c r="O548">
        <v>6</v>
      </c>
      <c r="P548">
        <v>149</v>
      </c>
      <c r="Q548">
        <v>501</v>
      </c>
    </row>
    <row r="549" spans="1:17" ht="14.25">
      <c r="A549">
        <v>545</v>
      </c>
      <c r="B549" t="str">
        <f>"160906"</f>
        <v>160906</v>
      </c>
      <c r="C549" t="str">
        <f>"gm. Murów"</f>
        <v>gm. Murów</v>
      </c>
      <c r="D549" t="str">
        <f t="shared" si="96"/>
        <v>opolski</v>
      </c>
      <c r="E549" t="str">
        <f t="shared" si="91"/>
        <v>opolskie</v>
      </c>
      <c r="F549">
        <v>3</v>
      </c>
      <c r="G549" t="str">
        <f>"Świetlica Wiejska, ul.Lipowa 1, Zagwiździe"</f>
        <v>Świetlica Wiejska, ul.Lipowa 1, Zagwiździe</v>
      </c>
      <c r="H549">
        <v>680</v>
      </c>
      <c r="I549">
        <v>670</v>
      </c>
      <c r="J549">
        <v>290</v>
      </c>
      <c r="K549">
        <v>0</v>
      </c>
      <c r="L549">
        <v>380</v>
      </c>
      <c r="M549">
        <v>290</v>
      </c>
      <c r="N549">
        <v>285</v>
      </c>
      <c r="O549">
        <v>5</v>
      </c>
      <c r="P549">
        <v>34</v>
      </c>
      <c r="Q549">
        <v>251</v>
      </c>
    </row>
    <row r="550" spans="1:17" ht="14.25">
      <c r="A550">
        <v>546</v>
      </c>
      <c r="B550" t="str">
        <f>"160906"</f>
        <v>160906</v>
      </c>
      <c r="C550" t="str">
        <f>"gm. Murów"</f>
        <v>gm. Murów</v>
      </c>
      <c r="D550" t="str">
        <f t="shared" si="96"/>
        <v>opolski</v>
      </c>
      <c r="E550" t="str">
        <f t="shared" si="91"/>
        <v>opolskie</v>
      </c>
      <c r="F550">
        <v>4</v>
      </c>
      <c r="G550" t="str">
        <f>"Świetlica Wiejska, ul. Wolności 24, Radomierowice"</f>
        <v>Świetlica Wiejska, ul. Wolności 24, Radomierowice</v>
      </c>
      <c r="H550">
        <v>376</v>
      </c>
      <c r="I550">
        <v>350</v>
      </c>
      <c r="J550">
        <v>167</v>
      </c>
      <c r="K550">
        <v>0</v>
      </c>
      <c r="L550">
        <v>183</v>
      </c>
      <c r="M550">
        <v>167</v>
      </c>
      <c r="N550">
        <v>164</v>
      </c>
      <c r="O550">
        <v>3</v>
      </c>
      <c r="P550">
        <v>39</v>
      </c>
      <c r="Q550">
        <v>125</v>
      </c>
    </row>
    <row r="551" spans="1:17" ht="14.25">
      <c r="A551">
        <v>547</v>
      </c>
      <c r="B551" t="str">
        <f>"160906"</f>
        <v>160906</v>
      </c>
      <c r="C551" t="str">
        <f>"gm. Murów"</f>
        <v>gm. Murów</v>
      </c>
      <c r="D551" t="str">
        <f t="shared" si="96"/>
        <v>opolski</v>
      </c>
      <c r="E551" t="str">
        <f t="shared" si="91"/>
        <v>opolskie</v>
      </c>
      <c r="F551">
        <v>5</v>
      </c>
      <c r="G551" t="str">
        <f>"Publiczna Szkoła Podstawowa, ul. Wołczyńska 14, Stare Budkowice"</f>
        <v>Publiczna Szkoła Podstawowa, ul. Wołczyńska 14, Stare Budkowice</v>
      </c>
      <c r="H551">
        <v>1656</v>
      </c>
      <c r="I551">
        <v>1515</v>
      </c>
      <c r="J551">
        <v>482</v>
      </c>
      <c r="K551">
        <v>0</v>
      </c>
      <c r="L551">
        <v>1033</v>
      </c>
      <c r="M551">
        <v>482</v>
      </c>
      <c r="N551">
        <v>478</v>
      </c>
      <c r="O551">
        <v>4</v>
      </c>
      <c r="P551">
        <v>93</v>
      </c>
      <c r="Q551">
        <v>385</v>
      </c>
    </row>
    <row r="552" spans="1:17" ht="14.25">
      <c r="A552">
        <v>548</v>
      </c>
      <c r="B552" t="str">
        <f aca="true" t="shared" si="97" ref="B552:B562">"160907"</f>
        <v>160907</v>
      </c>
      <c r="C552" t="str">
        <f aca="true" t="shared" si="98" ref="C552:C562">"gm. Niemodlin"</f>
        <v>gm. Niemodlin</v>
      </c>
      <c r="D552" t="str">
        <f t="shared" si="96"/>
        <v>opolski</v>
      </c>
      <c r="E552" t="str">
        <f t="shared" si="91"/>
        <v>opolskie</v>
      </c>
      <c r="F552">
        <v>1</v>
      </c>
      <c r="G552" t="str">
        <f>"Miejsko-Gminna Biblioteka Publiczna, ul. Bohaterów Powstań Śląskich 34a, Niemodlin"</f>
        <v>Miejsko-Gminna Biblioteka Publiczna, ul. Bohaterów Powstań Śląskich 34a, Niemodlin</v>
      </c>
      <c r="H552">
        <v>1193</v>
      </c>
      <c r="I552">
        <v>1120</v>
      </c>
      <c r="J552">
        <v>561</v>
      </c>
      <c r="K552">
        <v>0</v>
      </c>
      <c r="L552">
        <v>559</v>
      </c>
      <c r="M552">
        <v>561</v>
      </c>
      <c r="N552">
        <v>551</v>
      </c>
      <c r="O552">
        <v>10</v>
      </c>
      <c r="P552">
        <v>190</v>
      </c>
      <c r="Q552">
        <v>361</v>
      </c>
    </row>
    <row r="553" spans="1:17" ht="14.25">
      <c r="A553">
        <v>549</v>
      </c>
      <c r="B553" t="str">
        <f t="shared" si="97"/>
        <v>160907</v>
      </c>
      <c r="C553" t="str">
        <f t="shared" si="98"/>
        <v>gm. Niemodlin</v>
      </c>
      <c r="D553" t="str">
        <f t="shared" si="96"/>
        <v>opolski</v>
      </c>
      <c r="E553" t="str">
        <f t="shared" si="91"/>
        <v>opolskie</v>
      </c>
      <c r="F553">
        <v>2</v>
      </c>
      <c r="G553" t="str">
        <f>"Szkoła Podstawowa Nr 2, ul. Szkolna 5, Niemodlin"</f>
        <v>Szkoła Podstawowa Nr 2, ul. Szkolna 5, Niemodlin</v>
      </c>
      <c r="H553">
        <v>930</v>
      </c>
      <c r="I553">
        <v>880</v>
      </c>
      <c r="J553">
        <v>394</v>
      </c>
      <c r="K553">
        <v>0</v>
      </c>
      <c r="L553">
        <v>486</v>
      </c>
      <c r="M553">
        <v>394</v>
      </c>
      <c r="N553">
        <v>390</v>
      </c>
      <c r="O553">
        <v>4</v>
      </c>
      <c r="P553">
        <v>193</v>
      </c>
      <c r="Q553">
        <v>197</v>
      </c>
    </row>
    <row r="554" spans="1:17" ht="14.25">
      <c r="A554">
        <v>550</v>
      </c>
      <c r="B554" t="str">
        <f t="shared" si="97"/>
        <v>160907</v>
      </c>
      <c r="C554" t="str">
        <f t="shared" si="98"/>
        <v>gm. Niemodlin</v>
      </c>
      <c r="D554" t="str">
        <f t="shared" si="96"/>
        <v>opolski</v>
      </c>
      <c r="E554" t="str">
        <f t="shared" si="91"/>
        <v>opolskie</v>
      </c>
      <c r="F554">
        <v>3</v>
      </c>
      <c r="G554" t="str">
        <f>"Ośrodek Kultury, ul. Mikołaja Reja 1, Niemodlin"</f>
        <v>Ośrodek Kultury, ul. Mikołaja Reja 1, Niemodlin</v>
      </c>
      <c r="H554">
        <v>1714</v>
      </c>
      <c r="I554">
        <v>1600</v>
      </c>
      <c r="J554">
        <v>977</v>
      </c>
      <c r="K554">
        <v>0</v>
      </c>
      <c r="L554">
        <v>623</v>
      </c>
      <c r="M554">
        <v>977</v>
      </c>
      <c r="N554">
        <v>972</v>
      </c>
      <c r="O554">
        <v>5</v>
      </c>
      <c r="P554">
        <v>352</v>
      </c>
      <c r="Q554">
        <v>620</v>
      </c>
    </row>
    <row r="555" spans="1:17" ht="14.25">
      <c r="A555">
        <v>551</v>
      </c>
      <c r="B555" t="str">
        <f t="shared" si="97"/>
        <v>160907</v>
      </c>
      <c r="C555" t="str">
        <f t="shared" si="98"/>
        <v>gm. Niemodlin</v>
      </c>
      <c r="D555" t="str">
        <f t="shared" si="96"/>
        <v>opolski</v>
      </c>
      <c r="E555" t="str">
        <f t="shared" si="91"/>
        <v>opolskie</v>
      </c>
      <c r="F555">
        <v>4</v>
      </c>
      <c r="G555" t="str">
        <f>"Zespół Szkół, ul. Opolska 34, Niemodlin"</f>
        <v>Zespół Szkół, ul. Opolska 34, Niemodlin</v>
      </c>
      <c r="H555">
        <v>1655</v>
      </c>
      <c r="I555">
        <v>1525</v>
      </c>
      <c r="J555">
        <v>861</v>
      </c>
      <c r="K555">
        <v>0</v>
      </c>
      <c r="L555">
        <v>664</v>
      </c>
      <c r="M555">
        <v>861</v>
      </c>
      <c r="N555">
        <v>844</v>
      </c>
      <c r="O555">
        <v>17</v>
      </c>
      <c r="P555">
        <v>322</v>
      </c>
      <c r="Q555">
        <v>522</v>
      </c>
    </row>
    <row r="556" spans="1:17" ht="14.25">
      <c r="A556">
        <v>552</v>
      </c>
      <c r="B556" t="str">
        <f t="shared" si="97"/>
        <v>160907</v>
      </c>
      <c r="C556" t="str">
        <f t="shared" si="98"/>
        <v>gm. Niemodlin</v>
      </c>
      <c r="D556" t="str">
        <f t="shared" si="96"/>
        <v>opolski</v>
      </c>
      <c r="E556" t="str">
        <f t="shared" si="91"/>
        <v>opolskie</v>
      </c>
      <c r="F556">
        <v>5</v>
      </c>
      <c r="G556" t="str">
        <f>"Szkoła Podstawowa, ul. Nyska 90, Grabin"</f>
        <v>Szkoła Podstawowa, ul. Nyska 90, Grabin</v>
      </c>
      <c r="H556">
        <v>737</v>
      </c>
      <c r="I556">
        <v>723</v>
      </c>
      <c r="J556">
        <v>323</v>
      </c>
      <c r="K556">
        <v>0</v>
      </c>
      <c r="L556">
        <v>400</v>
      </c>
      <c r="M556">
        <v>323</v>
      </c>
      <c r="N556">
        <v>323</v>
      </c>
      <c r="O556">
        <v>0</v>
      </c>
      <c r="P556">
        <v>160</v>
      </c>
      <c r="Q556">
        <v>163</v>
      </c>
    </row>
    <row r="557" spans="1:17" ht="14.25">
      <c r="A557">
        <v>553</v>
      </c>
      <c r="B557" t="str">
        <f t="shared" si="97"/>
        <v>160907</v>
      </c>
      <c r="C557" t="str">
        <f t="shared" si="98"/>
        <v>gm. Niemodlin</v>
      </c>
      <c r="D557" t="str">
        <f t="shared" si="96"/>
        <v>opolski</v>
      </c>
      <c r="E557" t="str">
        <f t="shared" si="91"/>
        <v>opolskie</v>
      </c>
      <c r="F557">
        <v>6</v>
      </c>
      <c r="G557" t="str">
        <f>"Szkoła Podstawowa, Rogi 10a, Rogi"</f>
        <v>Szkoła Podstawowa, Rogi 10a, Rogi</v>
      </c>
      <c r="H557">
        <v>866</v>
      </c>
      <c r="I557">
        <v>800</v>
      </c>
      <c r="J557">
        <v>303</v>
      </c>
      <c r="K557">
        <v>0</v>
      </c>
      <c r="L557">
        <v>497</v>
      </c>
      <c r="M557">
        <v>303</v>
      </c>
      <c r="N557">
        <v>301</v>
      </c>
      <c r="O557">
        <v>2</v>
      </c>
      <c r="P557">
        <v>110</v>
      </c>
      <c r="Q557">
        <v>191</v>
      </c>
    </row>
    <row r="558" spans="1:17" ht="14.25">
      <c r="A558">
        <v>554</v>
      </c>
      <c r="B558" t="str">
        <f t="shared" si="97"/>
        <v>160907</v>
      </c>
      <c r="C558" t="str">
        <f t="shared" si="98"/>
        <v>gm. Niemodlin</v>
      </c>
      <c r="D558" t="str">
        <f t="shared" si="96"/>
        <v>opolski</v>
      </c>
      <c r="E558" t="str">
        <f t="shared" si="91"/>
        <v>opolskie</v>
      </c>
      <c r="F558">
        <v>7</v>
      </c>
      <c r="G558" t="str">
        <f>"Publiczne Gimnazjum, ul. Niemodlińska 21, Gracze"</f>
        <v>Publiczne Gimnazjum, ul. Niemodlińska 21, Gracze</v>
      </c>
      <c r="H558">
        <v>1677</v>
      </c>
      <c r="I558">
        <v>1523</v>
      </c>
      <c r="J558">
        <v>760</v>
      </c>
      <c r="K558">
        <v>1</v>
      </c>
      <c r="L558">
        <v>763</v>
      </c>
      <c r="M558">
        <v>760</v>
      </c>
      <c r="N558">
        <v>752</v>
      </c>
      <c r="O558">
        <v>8</v>
      </c>
      <c r="P558">
        <v>297</v>
      </c>
      <c r="Q558">
        <v>455</v>
      </c>
    </row>
    <row r="559" spans="1:17" ht="14.25">
      <c r="A559">
        <v>555</v>
      </c>
      <c r="B559" t="str">
        <f t="shared" si="97"/>
        <v>160907</v>
      </c>
      <c r="C559" t="str">
        <f t="shared" si="98"/>
        <v>gm. Niemodlin</v>
      </c>
      <c r="D559" t="str">
        <f t="shared" si="96"/>
        <v>opolski</v>
      </c>
      <c r="E559" t="str">
        <f t="shared" si="91"/>
        <v>opolskie</v>
      </c>
      <c r="F559">
        <v>8</v>
      </c>
      <c r="G559" t="str">
        <f>"Szkoła Podstawowa, ul. Niemodlińska 21, Gracze"</f>
        <v>Szkoła Podstawowa, ul. Niemodlińska 21, Gracze</v>
      </c>
      <c r="H559">
        <v>348</v>
      </c>
      <c r="I559">
        <v>400</v>
      </c>
      <c r="J559">
        <v>103</v>
      </c>
      <c r="K559">
        <v>0</v>
      </c>
      <c r="L559">
        <v>297</v>
      </c>
      <c r="M559">
        <v>103</v>
      </c>
      <c r="N559">
        <v>102</v>
      </c>
      <c r="O559">
        <v>1</v>
      </c>
      <c r="P559">
        <v>49</v>
      </c>
      <c r="Q559">
        <v>53</v>
      </c>
    </row>
    <row r="560" spans="1:17" ht="14.25">
      <c r="A560">
        <v>556</v>
      </c>
      <c r="B560" t="str">
        <f t="shared" si="97"/>
        <v>160907</v>
      </c>
      <c r="C560" t="str">
        <f t="shared" si="98"/>
        <v>gm. Niemodlin</v>
      </c>
      <c r="D560" t="str">
        <f t="shared" si="96"/>
        <v>opolski</v>
      </c>
      <c r="E560" t="str">
        <f t="shared" si="91"/>
        <v>opolskie</v>
      </c>
      <c r="F560">
        <v>9</v>
      </c>
      <c r="G560" t="str">
        <f>"Świetlica wiejska, Rzędziwojowice 29a, Rzędziwojowice"</f>
        <v>Świetlica wiejska, Rzędziwojowice 29a, Rzędziwojowice</v>
      </c>
      <c r="H560">
        <v>545</v>
      </c>
      <c r="I560">
        <v>580</v>
      </c>
      <c r="J560">
        <v>257</v>
      </c>
      <c r="K560">
        <v>0</v>
      </c>
      <c r="L560">
        <v>323</v>
      </c>
      <c r="M560">
        <v>257</v>
      </c>
      <c r="N560">
        <v>257</v>
      </c>
      <c r="O560">
        <v>0</v>
      </c>
      <c r="P560">
        <v>105</v>
      </c>
      <c r="Q560">
        <v>152</v>
      </c>
    </row>
    <row r="561" spans="1:17" ht="14.25">
      <c r="A561">
        <v>557</v>
      </c>
      <c r="B561" t="str">
        <f t="shared" si="97"/>
        <v>160907</v>
      </c>
      <c r="C561" t="str">
        <f t="shared" si="98"/>
        <v>gm. Niemodlin</v>
      </c>
      <c r="D561" t="str">
        <f t="shared" si="96"/>
        <v>opolski</v>
      </c>
      <c r="E561" t="str">
        <f t="shared" si="91"/>
        <v>opolskie</v>
      </c>
      <c r="F561">
        <v>10</v>
      </c>
      <c r="G561" t="str">
        <f>"Publiczne Przedszkole, Grodziec 23, Grodziec"</f>
        <v>Publiczne Przedszkole, Grodziec 23, Grodziec</v>
      </c>
      <c r="H561">
        <v>481</v>
      </c>
      <c r="I561">
        <v>478</v>
      </c>
      <c r="J561">
        <v>252</v>
      </c>
      <c r="K561">
        <v>1</v>
      </c>
      <c r="L561">
        <v>226</v>
      </c>
      <c r="M561">
        <v>252</v>
      </c>
      <c r="N561">
        <v>249</v>
      </c>
      <c r="O561">
        <v>3</v>
      </c>
      <c r="P561">
        <v>131</v>
      </c>
      <c r="Q561">
        <v>118</v>
      </c>
    </row>
    <row r="562" spans="1:17" ht="14.25">
      <c r="A562">
        <v>558</v>
      </c>
      <c r="B562" t="str">
        <f t="shared" si="97"/>
        <v>160907</v>
      </c>
      <c r="C562" t="str">
        <f t="shared" si="98"/>
        <v>gm. Niemodlin</v>
      </c>
      <c r="D562" t="str">
        <f t="shared" si="96"/>
        <v>opolski</v>
      </c>
      <c r="E562" t="str">
        <f t="shared" si="91"/>
        <v>opolskie</v>
      </c>
      <c r="F562">
        <v>11</v>
      </c>
      <c r="G562" t="str">
        <f>"Świetlica RSP, Wydrowice 7, Wydrowice"</f>
        <v>Świetlica RSP, Wydrowice 7, Wydrowice</v>
      </c>
      <c r="H562">
        <v>595</v>
      </c>
      <c r="I562">
        <v>640</v>
      </c>
      <c r="J562">
        <v>254</v>
      </c>
      <c r="K562">
        <v>0</v>
      </c>
      <c r="L562">
        <v>386</v>
      </c>
      <c r="M562">
        <v>254</v>
      </c>
      <c r="N562">
        <v>251</v>
      </c>
      <c r="O562">
        <v>3</v>
      </c>
      <c r="P562">
        <v>101</v>
      </c>
      <c r="Q562">
        <v>150</v>
      </c>
    </row>
    <row r="563" spans="1:17" ht="14.25">
      <c r="A563">
        <v>559</v>
      </c>
      <c r="B563" t="str">
        <f aca="true" t="shared" si="99" ref="B563:B578">"160908"</f>
        <v>160908</v>
      </c>
      <c r="C563" t="str">
        <f aca="true" t="shared" si="100" ref="C563:C578">"gm. Ozimek"</f>
        <v>gm. Ozimek</v>
      </c>
      <c r="D563" t="str">
        <f t="shared" si="96"/>
        <v>opolski</v>
      </c>
      <c r="E563" t="str">
        <f t="shared" si="91"/>
        <v>opolskie</v>
      </c>
      <c r="F563">
        <v>1</v>
      </c>
      <c r="G563" t="str">
        <f>"Dom Kultury, ul. Ostapa Dłuskiego 4, Ozimek"</f>
        <v>Dom Kultury, ul. Ostapa Dłuskiego 4, Ozimek</v>
      </c>
      <c r="H563">
        <v>1051</v>
      </c>
      <c r="I563">
        <v>1040</v>
      </c>
      <c r="J563">
        <v>557</v>
      </c>
      <c r="K563">
        <v>1</v>
      </c>
      <c r="L563">
        <v>483</v>
      </c>
      <c r="M563">
        <v>557</v>
      </c>
      <c r="N563">
        <v>555</v>
      </c>
      <c r="O563">
        <v>2</v>
      </c>
      <c r="P563">
        <v>174</v>
      </c>
      <c r="Q563">
        <v>381</v>
      </c>
    </row>
    <row r="564" spans="1:17" ht="14.25">
      <c r="A564">
        <v>560</v>
      </c>
      <c r="B564" t="str">
        <f t="shared" si="99"/>
        <v>160908</v>
      </c>
      <c r="C564" t="str">
        <f t="shared" si="100"/>
        <v>gm. Ozimek</v>
      </c>
      <c r="D564" t="str">
        <f t="shared" si="96"/>
        <v>opolski</v>
      </c>
      <c r="E564" t="str">
        <f t="shared" si="91"/>
        <v>opolskie</v>
      </c>
      <c r="F564">
        <v>2</v>
      </c>
      <c r="G564" t="str">
        <f>"Przedszkole Publiczne Nr 4, ul. XX Lecia 1, Ozimek"</f>
        <v>Przedszkole Publiczne Nr 4, ul. XX Lecia 1, Ozimek</v>
      </c>
      <c r="H564">
        <v>1213</v>
      </c>
      <c r="I564">
        <v>1115</v>
      </c>
      <c r="J564">
        <v>516</v>
      </c>
      <c r="K564">
        <v>0</v>
      </c>
      <c r="L564">
        <v>599</v>
      </c>
      <c r="M564">
        <v>516</v>
      </c>
      <c r="N564">
        <v>510</v>
      </c>
      <c r="O564">
        <v>6</v>
      </c>
      <c r="P564">
        <v>135</v>
      </c>
      <c r="Q564">
        <v>375</v>
      </c>
    </row>
    <row r="565" spans="1:17" ht="14.25">
      <c r="A565">
        <v>561</v>
      </c>
      <c r="B565" t="str">
        <f t="shared" si="99"/>
        <v>160908</v>
      </c>
      <c r="C565" t="str">
        <f t="shared" si="100"/>
        <v>gm. Ozimek</v>
      </c>
      <c r="D565" t="str">
        <f t="shared" si="96"/>
        <v>opolski</v>
      </c>
      <c r="E565" t="str">
        <f t="shared" si="91"/>
        <v>opolskie</v>
      </c>
      <c r="F565">
        <v>3</v>
      </c>
      <c r="G565" t="str">
        <f>"Zespół Szkół w Ozimku, ul. Częstochowska 24, Ozimek"</f>
        <v>Zespół Szkół w Ozimku, ul. Częstochowska 24, Ozimek</v>
      </c>
      <c r="H565">
        <v>1508</v>
      </c>
      <c r="I565">
        <v>1440</v>
      </c>
      <c r="J565">
        <v>630</v>
      </c>
      <c r="K565">
        <v>1</v>
      </c>
      <c r="L565">
        <v>810</v>
      </c>
      <c r="M565">
        <v>630</v>
      </c>
      <c r="N565">
        <v>623</v>
      </c>
      <c r="O565">
        <v>7</v>
      </c>
      <c r="P565">
        <v>173</v>
      </c>
      <c r="Q565">
        <v>450</v>
      </c>
    </row>
    <row r="566" spans="1:17" ht="14.25">
      <c r="A566">
        <v>562</v>
      </c>
      <c r="B566" t="str">
        <f t="shared" si="99"/>
        <v>160908</v>
      </c>
      <c r="C566" t="str">
        <f t="shared" si="100"/>
        <v>gm. Ozimek</v>
      </c>
      <c r="D566" t="str">
        <f t="shared" si="96"/>
        <v>opolski</v>
      </c>
      <c r="E566" t="str">
        <f t="shared" si="91"/>
        <v>opolskie</v>
      </c>
      <c r="F566">
        <v>4</v>
      </c>
      <c r="G566" t="str">
        <f>"Gimnazjum Nr 1, ul. Janusza Korczaka 12, Ozimek"</f>
        <v>Gimnazjum Nr 1, ul. Janusza Korczaka 12, Ozimek</v>
      </c>
      <c r="H566">
        <v>2138</v>
      </c>
      <c r="I566">
        <v>1919</v>
      </c>
      <c r="J566">
        <v>1103</v>
      </c>
      <c r="K566">
        <v>1</v>
      </c>
      <c r="L566">
        <v>816</v>
      </c>
      <c r="M566">
        <v>1102</v>
      </c>
      <c r="N566">
        <v>1091</v>
      </c>
      <c r="O566">
        <v>11</v>
      </c>
      <c r="P566">
        <v>292</v>
      </c>
      <c r="Q566">
        <v>799</v>
      </c>
    </row>
    <row r="567" spans="1:17" ht="14.25">
      <c r="A567">
        <v>563</v>
      </c>
      <c r="B567" t="str">
        <f t="shared" si="99"/>
        <v>160908</v>
      </c>
      <c r="C567" t="str">
        <f t="shared" si="100"/>
        <v>gm. Ozimek</v>
      </c>
      <c r="D567" t="str">
        <f t="shared" si="96"/>
        <v>opolski</v>
      </c>
      <c r="E567" t="str">
        <f t="shared" si="91"/>
        <v>opolskie</v>
      </c>
      <c r="F567">
        <v>5</v>
      </c>
      <c r="G567" t="str">
        <f>"Szkoła Podstawowa Nr 2, ul. Daniecka 12a, Ozimek"</f>
        <v>Szkoła Podstawowa Nr 2, ul. Daniecka 12a, Ozimek</v>
      </c>
      <c r="H567">
        <v>704</v>
      </c>
      <c r="I567">
        <v>722</v>
      </c>
      <c r="J567">
        <v>213</v>
      </c>
      <c r="K567">
        <v>0</v>
      </c>
      <c r="L567">
        <v>509</v>
      </c>
      <c r="M567">
        <v>213</v>
      </c>
      <c r="N567">
        <v>212</v>
      </c>
      <c r="O567">
        <v>1</v>
      </c>
      <c r="P567">
        <v>57</v>
      </c>
      <c r="Q567">
        <v>155</v>
      </c>
    </row>
    <row r="568" spans="1:17" ht="14.25">
      <c r="A568">
        <v>564</v>
      </c>
      <c r="B568" t="str">
        <f t="shared" si="99"/>
        <v>160908</v>
      </c>
      <c r="C568" t="str">
        <f t="shared" si="100"/>
        <v>gm. Ozimek</v>
      </c>
      <c r="D568" t="str">
        <f t="shared" si="96"/>
        <v>opolski</v>
      </c>
      <c r="E568" t="str">
        <f t="shared" si="91"/>
        <v>opolskie</v>
      </c>
      <c r="F568">
        <v>6</v>
      </c>
      <c r="G568" t="str">
        <f>"Szkoła Podstawowa, ul. Powstańców Śląskich 17, Antoniów"</f>
        <v>Szkoła Podstawowa, ul. Powstańców Śląskich 17, Antoniów</v>
      </c>
      <c r="H568">
        <v>1014</v>
      </c>
      <c r="I568">
        <v>961</v>
      </c>
      <c r="J568">
        <v>304</v>
      </c>
      <c r="K568">
        <v>0</v>
      </c>
      <c r="L568">
        <v>657</v>
      </c>
      <c r="M568">
        <v>304</v>
      </c>
      <c r="N568">
        <v>301</v>
      </c>
      <c r="O568">
        <v>3</v>
      </c>
      <c r="P568">
        <v>55</v>
      </c>
      <c r="Q568">
        <v>246</v>
      </c>
    </row>
    <row r="569" spans="1:17" ht="14.25">
      <c r="A569">
        <v>565</v>
      </c>
      <c r="B569" t="str">
        <f t="shared" si="99"/>
        <v>160908</v>
      </c>
      <c r="C569" t="str">
        <f t="shared" si="100"/>
        <v>gm. Ozimek</v>
      </c>
      <c r="D569" t="str">
        <f t="shared" si="96"/>
        <v>opolski</v>
      </c>
      <c r="E569" t="str">
        <f t="shared" si="91"/>
        <v>opolskie</v>
      </c>
      <c r="F569">
        <v>7</v>
      </c>
      <c r="G569" t="str">
        <f>"Świetlica wiejska, ul. Ozimska 18, Biestrzynnik"</f>
        <v>Świetlica wiejska, ul. Ozimska 18, Biestrzynnik</v>
      </c>
      <c r="H569">
        <v>617</v>
      </c>
      <c r="I569">
        <v>639</v>
      </c>
      <c r="J569">
        <v>158</v>
      </c>
      <c r="K569">
        <v>0</v>
      </c>
      <c r="L569">
        <v>481</v>
      </c>
      <c r="M569">
        <v>158</v>
      </c>
      <c r="N569">
        <v>158</v>
      </c>
      <c r="O569">
        <v>0</v>
      </c>
      <c r="P569">
        <v>39</v>
      </c>
      <c r="Q569">
        <v>119</v>
      </c>
    </row>
    <row r="570" spans="1:17" ht="14.25">
      <c r="A570">
        <v>566</v>
      </c>
      <c r="B570" t="str">
        <f t="shared" si="99"/>
        <v>160908</v>
      </c>
      <c r="C570" t="str">
        <f t="shared" si="100"/>
        <v>gm. Ozimek</v>
      </c>
      <c r="D570" t="str">
        <f t="shared" si="96"/>
        <v>opolski</v>
      </c>
      <c r="E570" t="str">
        <f t="shared" si="91"/>
        <v>opolskie</v>
      </c>
      <c r="F570">
        <v>8</v>
      </c>
      <c r="G570" t="str">
        <f>"Szkoła Podstawowa, ul. Szkolna 5, Dylaki"</f>
        <v>Szkoła Podstawowa, ul. Szkolna 5, Dylaki</v>
      </c>
      <c r="H570">
        <v>1063</v>
      </c>
      <c r="I570">
        <v>961</v>
      </c>
      <c r="J570">
        <v>283</v>
      </c>
      <c r="K570">
        <v>1</v>
      </c>
      <c r="L570">
        <v>678</v>
      </c>
      <c r="M570">
        <v>283</v>
      </c>
      <c r="N570">
        <v>283</v>
      </c>
      <c r="O570">
        <v>0</v>
      </c>
      <c r="P570">
        <v>71</v>
      </c>
      <c r="Q570">
        <v>212</v>
      </c>
    </row>
    <row r="571" spans="1:17" ht="14.25">
      <c r="A571">
        <v>567</v>
      </c>
      <c r="B571" t="str">
        <f t="shared" si="99"/>
        <v>160908</v>
      </c>
      <c r="C571" t="str">
        <f t="shared" si="100"/>
        <v>gm. Ozimek</v>
      </c>
      <c r="D571" t="str">
        <f t="shared" si="96"/>
        <v>opolski</v>
      </c>
      <c r="E571" t="str">
        <f t="shared" si="91"/>
        <v>opolskie</v>
      </c>
      <c r="F571">
        <v>9</v>
      </c>
      <c r="G571" t="str">
        <f>"Szkoła Podstawowa, ul. Tartaczna 1, Grodziec"</f>
        <v>Szkoła Podstawowa, ul. Tartaczna 1, Grodziec</v>
      </c>
      <c r="H571">
        <v>1503</v>
      </c>
      <c r="I571">
        <v>1440</v>
      </c>
      <c r="J571">
        <v>750</v>
      </c>
      <c r="K571">
        <v>2</v>
      </c>
      <c r="L571">
        <v>690</v>
      </c>
      <c r="M571">
        <v>750</v>
      </c>
      <c r="N571">
        <v>744</v>
      </c>
      <c r="O571">
        <v>6</v>
      </c>
      <c r="P571">
        <v>372</v>
      </c>
      <c r="Q571">
        <v>372</v>
      </c>
    </row>
    <row r="572" spans="1:17" ht="14.25">
      <c r="A572">
        <v>568</v>
      </c>
      <c r="B572" t="str">
        <f t="shared" si="99"/>
        <v>160908</v>
      </c>
      <c r="C572" t="str">
        <f t="shared" si="100"/>
        <v>gm. Ozimek</v>
      </c>
      <c r="D572" t="str">
        <f t="shared" si="96"/>
        <v>opolski</v>
      </c>
      <c r="E572" t="str">
        <f t="shared" si="91"/>
        <v>opolskie</v>
      </c>
      <c r="F572">
        <v>10</v>
      </c>
      <c r="G572" t="str">
        <f>"Szkoła Podstawowa, ul. Szkolna 5, Krasiejów"</f>
        <v>Szkoła Podstawowa, ul. Szkolna 5, Krasiejów</v>
      </c>
      <c r="H572">
        <v>1735</v>
      </c>
      <c r="I572">
        <v>1600</v>
      </c>
      <c r="J572">
        <v>555</v>
      </c>
      <c r="K572">
        <v>0</v>
      </c>
      <c r="L572">
        <v>1045</v>
      </c>
      <c r="M572">
        <v>555</v>
      </c>
      <c r="N572">
        <v>548</v>
      </c>
      <c r="O572">
        <v>7</v>
      </c>
      <c r="P572">
        <v>119</v>
      </c>
      <c r="Q572">
        <v>429</v>
      </c>
    </row>
    <row r="573" spans="1:17" ht="14.25">
      <c r="A573">
        <v>569</v>
      </c>
      <c r="B573" t="str">
        <f t="shared" si="99"/>
        <v>160908</v>
      </c>
      <c r="C573" t="str">
        <f t="shared" si="100"/>
        <v>gm. Ozimek</v>
      </c>
      <c r="D573" t="str">
        <f t="shared" si="96"/>
        <v>opolski</v>
      </c>
      <c r="E573" t="str">
        <f t="shared" si="91"/>
        <v>opolskie</v>
      </c>
      <c r="F573">
        <v>11</v>
      </c>
      <c r="G573" t="str">
        <f>"Budynek Ochotniczej Straży Pożarnej, ul. Ks. Piotra Gołąba 19, Schodnia"</f>
        <v>Budynek Ochotniczej Straży Pożarnej, ul. Ks. Piotra Gołąba 19, Schodnia</v>
      </c>
      <c r="H573">
        <v>722</v>
      </c>
      <c r="I573">
        <v>719</v>
      </c>
      <c r="J573">
        <v>218</v>
      </c>
      <c r="K573">
        <v>0</v>
      </c>
      <c r="L573">
        <v>501</v>
      </c>
      <c r="M573">
        <v>218</v>
      </c>
      <c r="N573">
        <v>217</v>
      </c>
      <c r="O573">
        <v>1</v>
      </c>
      <c r="P573">
        <v>67</v>
      </c>
      <c r="Q573">
        <v>150</v>
      </c>
    </row>
    <row r="574" spans="1:17" ht="14.25">
      <c r="A574">
        <v>570</v>
      </c>
      <c r="B574" t="str">
        <f t="shared" si="99"/>
        <v>160908</v>
      </c>
      <c r="C574" t="str">
        <f t="shared" si="100"/>
        <v>gm. Ozimek</v>
      </c>
      <c r="D574" t="str">
        <f aca="true" t="shared" si="101" ref="D574:D605">"opolski"</f>
        <v>opolski</v>
      </c>
      <c r="E574" t="str">
        <f t="shared" si="91"/>
        <v>opolskie</v>
      </c>
      <c r="F574">
        <v>12</v>
      </c>
      <c r="G574" t="str">
        <f>"Świetlica wiejska, Plac 1 Maja 9, Szczedrzyk"</f>
        <v>Świetlica wiejska, Plac 1 Maja 9, Szczedrzyk</v>
      </c>
      <c r="H574">
        <v>1435</v>
      </c>
      <c r="I574">
        <v>1278</v>
      </c>
      <c r="J574">
        <v>611</v>
      </c>
      <c r="K574">
        <v>1</v>
      </c>
      <c r="L574">
        <v>667</v>
      </c>
      <c r="M574">
        <v>610</v>
      </c>
      <c r="N574">
        <v>602</v>
      </c>
      <c r="O574">
        <v>8</v>
      </c>
      <c r="P574">
        <v>127</v>
      </c>
      <c r="Q574">
        <v>475</v>
      </c>
    </row>
    <row r="575" spans="1:17" ht="14.25">
      <c r="A575">
        <v>571</v>
      </c>
      <c r="B575" t="str">
        <f t="shared" si="99"/>
        <v>160908</v>
      </c>
      <c r="C575" t="str">
        <f t="shared" si="100"/>
        <v>gm. Ozimek</v>
      </c>
      <c r="D575" t="str">
        <f t="shared" si="101"/>
        <v>opolski</v>
      </c>
      <c r="E575" t="str">
        <f t="shared" si="91"/>
        <v>opolskie</v>
      </c>
      <c r="F575">
        <v>13</v>
      </c>
      <c r="G575" t="str">
        <f>"Budynek byłej Szkoły Podstawowej, ul. Ozimska 11a, Pustków"</f>
        <v>Budynek byłej Szkoły Podstawowej, ul. Ozimska 11a, Pustków</v>
      </c>
      <c r="H575">
        <v>380</v>
      </c>
      <c r="I575">
        <v>400</v>
      </c>
      <c r="J575">
        <v>127</v>
      </c>
      <c r="K575">
        <v>0</v>
      </c>
      <c r="L575">
        <v>273</v>
      </c>
      <c r="M575">
        <v>127</v>
      </c>
      <c r="N575">
        <v>125</v>
      </c>
      <c r="O575">
        <v>2</v>
      </c>
      <c r="P575">
        <v>28</v>
      </c>
      <c r="Q575">
        <v>97</v>
      </c>
    </row>
    <row r="576" spans="1:17" ht="14.25">
      <c r="A576">
        <v>572</v>
      </c>
      <c r="B576" t="str">
        <f t="shared" si="99"/>
        <v>160908</v>
      </c>
      <c r="C576" t="str">
        <f t="shared" si="100"/>
        <v>gm. Ozimek</v>
      </c>
      <c r="D576" t="str">
        <f t="shared" si="101"/>
        <v>opolski</v>
      </c>
      <c r="E576" t="str">
        <f t="shared" si="91"/>
        <v>opolskie</v>
      </c>
      <c r="F576">
        <v>14</v>
      </c>
      <c r="G576" t="str">
        <f>"Budynek Żłobka, ul. Ostapa Dłuskiego 15, Ozimek"</f>
        <v>Budynek Żłobka, ul. Ostapa Dłuskiego 15, Ozimek</v>
      </c>
      <c r="H576">
        <v>1363</v>
      </c>
      <c r="I576">
        <v>1279</v>
      </c>
      <c r="J576">
        <v>579</v>
      </c>
      <c r="K576">
        <v>0</v>
      </c>
      <c r="L576">
        <v>700</v>
      </c>
      <c r="M576">
        <v>579</v>
      </c>
      <c r="N576">
        <v>574</v>
      </c>
      <c r="O576">
        <v>5</v>
      </c>
      <c r="P576">
        <v>151</v>
      </c>
      <c r="Q576">
        <v>423</v>
      </c>
    </row>
    <row r="577" spans="1:17" ht="14.25">
      <c r="A577">
        <v>573</v>
      </c>
      <c r="B577" t="str">
        <f t="shared" si="99"/>
        <v>160908</v>
      </c>
      <c r="C577" t="str">
        <f t="shared" si="100"/>
        <v>gm. Ozimek</v>
      </c>
      <c r="D577" t="str">
        <f t="shared" si="101"/>
        <v>opolski</v>
      </c>
      <c r="E577" t="str">
        <f t="shared" si="91"/>
        <v>opolskie</v>
      </c>
      <c r="F577">
        <v>15</v>
      </c>
      <c r="G577" t="str">
        <f>"Świetlica wiejska, ul. Powstańców Śląskich 29, Krzyżowa Dolina"</f>
        <v>Świetlica wiejska, ul. Powstańców Śląskich 29, Krzyżowa Dolina</v>
      </c>
      <c r="H577">
        <v>632</v>
      </c>
      <c r="I577">
        <v>640</v>
      </c>
      <c r="J577">
        <v>162</v>
      </c>
      <c r="K577">
        <v>0</v>
      </c>
      <c r="L577">
        <v>478</v>
      </c>
      <c r="M577">
        <v>162</v>
      </c>
      <c r="N577">
        <v>160</v>
      </c>
      <c r="O577">
        <v>2</v>
      </c>
      <c r="P577">
        <v>34</v>
      </c>
      <c r="Q577">
        <v>126</v>
      </c>
    </row>
    <row r="578" spans="1:17" ht="14.25">
      <c r="A578">
        <v>574</v>
      </c>
      <c r="B578" t="str">
        <f t="shared" si="99"/>
        <v>160908</v>
      </c>
      <c r="C578" t="str">
        <f t="shared" si="100"/>
        <v>gm. Ozimek</v>
      </c>
      <c r="D578" t="str">
        <f t="shared" si="101"/>
        <v>opolski</v>
      </c>
      <c r="E578" t="str">
        <f t="shared" si="91"/>
        <v>opolskie</v>
      </c>
      <c r="F578">
        <v>16</v>
      </c>
      <c r="G578" t="str">
        <f>"Szpital Euromedicare Św. Rocha, ul. Częstochowska 31, Ozimek"</f>
        <v>Szpital Euromedicare Św. Rocha, ul. Częstochowska 31, Ozimek</v>
      </c>
      <c r="H578">
        <v>69</v>
      </c>
      <c r="I578">
        <v>98</v>
      </c>
      <c r="J578">
        <v>30</v>
      </c>
      <c r="K578">
        <v>0</v>
      </c>
      <c r="L578">
        <v>68</v>
      </c>
      <c r="M578">
        <v>30</v>
      </c>
      <c r="N578">
        <v>27</v>
      </c>
      <c r="O578">
        <v>3</v>
      </c>
      <c r="P578">
        <v>8</v>
      </c>
      <c r="Q578">
        <v>19</v>
      </c>
    </row>
    <row r="579" spans="1:17" ht="14.25">
      <c r="A579">
        <v>575</v>
      </c>
      <c r="B579" t="str">
        <f>"160909"</f>
        <v>160909</v>
      </c>
      <c r="C579" t="str">
        <f>"gm. Popielów"</f>
        <v>gm. Popielów</v>
      </c>
      <c r="D579" t="str">
        <f t="shared" si="101"/>
        <v>opolski</v>
      </c>
      <c r="E579" t="str">
        <f t="shared" si="91"/>
        <v>opolskie</v>
      </c>
      <c r="F579">
        <v>1</v>
      </c>
      <c r="G579" t="str">
        <f>"Świetlica wiejska, ul. Wiejska 38, Lubienia"</f>
        <v>Świetlica wiejska, ul. Wiejska 38, Lubienia</v>
      </c>
      <c r="H579">
        <v>592</v>
      </c>
      <c r="I579">
        <v>640</v>
      </c>
      <c r="J579">
        <v>200</v>
      </c>
      <c r="K579">
        <v>0</v>
      </c>
      <c r="L579">
        <v>440</v>
      </c>
      <c r="M579">
        <v>200</v>
      </c>
      <c r="N579">
        <v>198</v>
      </c>
      <c r="O579">
        <v>2</v>
      </c>
      <c r="P579">
        <v>69</v>
      </c>
      <c r="Q579">
        <v>129</v>
      </c>
    </row>
    <row r="580" spans="1:17" ht="14.25">
      <c r="A580">
        <v>576</v>
      </c>
      <c r="B580" t="str">
        <f>"160909"</f>
        <v>160909</v>
      </c>
      <c r="C580" t="str">
        <f>"gm. Popielów"</f>
        <v>gm. Popielów</v>
      </c>
      <c r="D580" t="str">
        <f t="shared" si="101"/>
        <v>opolski</v>
      </c>
      <c r="E580" t="str">
        <f t="shared" si="91"/>
        <v>opolskie</v>
      </c>
      <c r="F580">
        <v>2</v>
      </c>
      <c r="G580" t="str">
        <f>"Samorządowe Centrum Kultury, Turystyki i Rekreacji, ul. Powstańców 34, Popielów"</f>
        <v>Samorządowe Centrum Kultury, Turystyki i Rekreacji, ul. Powstańców 34, Popielów</v>
      </c>
      <c r="H580">
        <v>1896</v>
      </c>
      <c r="I580">
        <v>1760</v>
      </c>
      <c r="J580">
        <v>574</v>
      </c>
      <c r="K580">
        <v>0</v>
      </c>
      <c r="L580">
        <v>1186</v>
      </c>
      <c r="M580">
        <v>574</v>
      </c>
      <c r="N580">
        <v>570</v>
      </c>
      <c r="O580">
        <v>4</v>
      </c>
      <c r="P580">
        <v>147</v>
      </c>
      <c r="Q580">
        <v>423</v>
      </c>
    </row>
    <row r="581" spans="1:17" ht="14.25">
      <c r="A581">
        <v>577</v>
      </c>
      <c r="B581" t="str">
        <f>"160909"</f>
        <v>160909</v>
      </c>
      <c r="C581" t="str">
        <f>"gm. Popielów"</f>
        <v>gm. Popielów</v>
      </c>
      <c r="D581" t="str">
        <f t="shared" si="101"/>
        <v>opolski</v>
      </c>
      <c r="E581" t="str">
        <f aca="true" t="shared" si="102" ref="E581:E644">"opolskie"</f>
        <v>opolskie</v>
      </c>
      <c r="F581">
        <v>3</v>
      </c>
      <c r="G581" t="str">
        <f>"Publiczna Szkoła Podstawowa, ul. Michała 2, Stare Siołkowice"</f>
        <v>Publiczna Szkoła Podstawowa, ul. Michała 2, Stare Siołkowice</v>
      </c>
      <c r="H581">
        <v>2072</v>
      </c>
      <c r="I581">
        <v>1921</v>
      </c>
      <c r="J581">
        <v>676</v>
      </c>
      <c r="K581">
        <v>0</v>
      </c>
      <c r="L581">
        <v>1245</v>
      </c>
      <c r="M581">
        <v>676</v>
      </c>
      <c r="N581">
        <v>666</v>
      </c>
      <c r="O581">
        <v>10</v>
      </c>
      <c r="P581">
        <v>127</v>
      </c>
      <c r="Q581">
        <v>539</v>
      </c>
    </row>
    <row r="582" spans="1:17" ht="14.25">
      <c r="A582">
        <v>578</v>
      </c>
      <c r="B582" t="str">
        <f>"160909"</f>
        <v>160909</v>
      </c>
      <c r="C582" t="str">
        <f>"gm. Popielów"</f>
        <v>gm. Popielów</v>
      </c>
      <c r="D582" t="str">
        <f t="shared" si="101"/>
        <v>opolski</v>
      </c>
      <c r="E582" t="str">
        <f t="shared" si="102"/>
        <v>opolskie</v>
      </c>
      <c r="F582">
        <v>4</v>
      </c>
      <c r="G582" t="str">
        <f>"Dom Kultury, ul. Brzeska 4, Karłowice"</f>
        <v>Dom Kultury, ul. Brzeska 4, Karłowice</v>
      </c>
      <c r="H582">
        <v>1528</v>
      </c>
      <c r="I582">
        <v>1440</v>
      </c>
      <c r="J582">
        <v>728</v>
      </c>
      <c r="K582">
        <v>0</v>
      </c>
      <c r="L582">
        <v>712</v>
      </c>
      <c r="M582">
        <v>728</v>
      </c>
      <c r="N582">
        <v>721</v>
      </c>
      <c r="O582">
        <v>7</v>
      </c>
      <c r="P582">
        <v>301</v>
      </c>
      <c r="Q582">
        <v>420</v>
      </c>
    </row>
    <row r="583" spans="1:17" ht="14.25">
      <c r="A583">
        <v>579</v>
      </c>
      <c r="B583" t="str">
        <f>"160909"</f>
        <v>160909</v>
      </c>
      <c r="C583" t="str">
        <f>"gm. Popielów"</f>
        <v>gm. Popielów</v>
      </c>
      <c r="D583" t="str">
        <f t="shared" si="101"/>
        <v>opolski</v>
      </c>
      <c r="E583" t="str">
        <f t="shared" si="102"/>
        <v>opolskie</v>
      </c>
      <c r="F583">
        <v>5</v>
      </c>
      <c r="G583" t="str">
        <f>"Świetlica wiejska, ul. Jakuba Kani 11, Stobrawa"</f>
        <v>Świetlica wiejska, ul. Jakuba Kani 11, Stobrawa</v>
      </c>
      <c r="H583">
        <v>783</v>
      </c>
      <c r="I583">
        <v>723</v>
      </c>
      <c r="J583">
        <v>416</v>
      </c>
      <c r="K583">
        <v>0</v>
      </c>
      <c r="L583">
        <v>307</v>
      </c>
      <c r="M583">
        <v>416</v>
      </c>
      <c r="N583">
        <v>414</v>
      </c>
      <c r="O583">
        <v>2</v>
      </c>
      <c r="P583">
        <v>159</v>
      </c>
      <c r="Q583">
        <v>255</v>
      </c>
    </row>
    <row r="584" spans="1:17" ht="14.25">
      <c r="A584">
        <v>580</v>
      </c>
      <c r="B584" t="str">
        <f aca="true" t="shared" si="103" ref="B584:B592">"160910"</f>
        <v>160910</v>
      </c>
      <c r="C584" t="str">
        <f aca="true" t="shared" si="104" ref="C584:C592">"gm. Prószków"</f>
        <v>gm. Prószków</v>
      </c>
      <c r="D584" t="str">
        <f t="shared" si="101"/>
        <v>opolski</v>
      </c>
      <c r="E584" t="str">
        <f t="shared" si="102"/>
        <v>opolskie</v>
      </c>
      <c r="F584">
        <v>1</v>
      </c>
      <c r="G584" t="str">
        <f>"Świetlica Wiejska, ul. Szkolna 5, Chrząszczyce"</f>
        <v>Świetlica Wiejska, ul. Szkolna 5, Chrząszczyce</v>
      </c>
      <c r="H584">
        <v>1180</v>
      </c>
      <c r="I584">
        <v>1122</v>
      </c>
      <c r="J584">
        <v>484</v>
      </c>
      <c r="K584">
        <v>0</v>
      </c>
      <c r="L584">
        <v>638</v>
      </c>
      <c r="M584">
        <v>484</v>
      </c>
      <c r="N584">
        <v>480</v>
      </c>
      <c r="O584">
        <v>4</v>
      </c>
      <c r="P584">
        <v>128</v>
      </c>
      <c r="Q584">
        <v>352</v>
      </c>
    </row>
    <row r="585" spans="1:17" ht="14.25">
      <c r="A585">
        <v>581</v>
      </c>
      <c r="B585" t="str">
        <f t="shared" si="103"/>
        <v>160910</v>
      </c>
      <c r="C585" t="str">
        <f t="shared" si="104"/>
        <v>gm. Prószków</v>
      </c>
      <c r="D585" t="str">
        <f t="shared" si="101"/>
        <v>opolski</v>
      </c>
      <c r="E585" t="str">
        <f t="shared" si="102"/>
        <v>opolskie</v>
      </c>
      <c r="F585">
        <v>2</v>
      </c>
      <c r="G585" t="str">
        <f>"Ośrodek Kultury i Sportu, ul. Daszyńskiego 6, Prószków"</f>
        <v>Ośrodek Kultury i Sportu, ul. Daszyńskiego 6, Prószków</v>
      </c>
      <c r="H585">
        <v>1821</v>
      </c>
      <c r="I585">
        <v>1680</v>
      </c>
      <c r="J585">
        <v>789</v>
      </c>
      <c r="K585">
        <v>1</v>
      </c>
      <c r="L585">
        <v>891</v>
      </c>
      <c r="M585">
        <v>789</v>
      </c>
      <c r="N585">
        <v>786</v>
      </c>
      <c r="O585">
        <v>3</v>
      </c>
      <c r="P585">
        <v>139</v>
      </c>
      <c r="Q585">
        <v>647</v>
      </c>
    </row>
    <row r="586" spans="1:17" ht="14.25">
      <c r="A586">
        <v>582</v>
      </c>
      <c r="B586" t="str">
        <f t="shared" si="103"/>
        <v>160910</v>
      </c>
      <c r="C586" t="str">
        <f t="shared" si="104"/>
        <v>gm. Prószków</v>
      </c>
      <c r="D586" t="str">
        <f t="shared" si="101"/>
        <v>opolski</v>
      </c>
      <c r="E586" t="str">
        <f t="shared" si="102"/>
        <v>opolskie</v>
      </c>
      <c r="F586">
        <v>3</v>
      </c>
      <c r="G586" t="str">
        <f>"Publiczna Szkoła Podstawowa, ul. Szkolna 25, Ligota Prószkowska"</f>
        <v>Publiczna Szkoła Podstawowa, ul. Szkolna 25, Ligota Prószkowska</v>
      </c>
      <c r="H586">
        <v>923</v>
      </c>
      <c r="I586">
        <v>880</v>
      </c>
      <c r="J586">
        <v>279</v>
      </c>
      <c r="K586">
        <v>0</v>
      </c>
      <c r="L586">
        <v>601</v>
      </c>
      <c r="M586">
        <v>279</v>
      </c>
      <c r="N586">
        <v>272</v>
      </c>
      <c r="O586">
        <v>7</v>
      </c>
      <c r="P586">
        <v>61</v>
      </c>
      <c r="Q586">
        <v>211</v>
      </c>
    </row>
    <row r="587" spans="1:17" ht="14.25">
      <c r="A587">
        <v>583</v>
      </c>
      <c r="B587" t="str">
        <f t="shared" si="103"/>
        <v>160910</v>
      </c>
      <c r="C587" t="str">
        <f t="shared" si="104"/>
        <v>gm. Prószków</v>
      </c>
      <c r="D587" t="str">
        <f t="shared" si="101"/>
        <v>opolski</v>
      </c>
      <c r="E587" t="str">
        <f t="shared" si="102"/>
        <v>opolskie</v>
      </c>
      <c r="F587">
        <v>4</v>
      </c>
      <c r="G587" t="str">
        <f>"Publiczna Szkoła Podstawowa, ul. Opolska 17, Boguszyce"</f>
        <v>Publiczna Szkoła Podstawowa, ul. Opolska 17, Boguszyce</v>
      </c>
      <c r="H587">
        <v>1106</v>
      </c>
      <c r="I587">
        <v>1040</v>
      </c>
      <c r="J587">
        <v>448</v>
      </c>
      <c r="K587">
        <v>0</v>
      </c>
      <c r="L587">
        <v>592</v>
      </c>
      <c r="M587">
        <v>448</v>
      </c>
      <c r="N587">
        <v>447</v>
      </c>
      <c r="O587">
        <v>1</v>
      </c>
      <c r="P587">
        <v>111</v>
      </c>
      <c r="Q587">
        <v>336</v>
      </c>
    </row>
    <row r="588" spans="1:17" ht="14.25">
      <c r="A588">
        <v>584</v>
      </c>
      <c r="B588" t="str">
        <f t="shared" si="103"/>
        <v>160910</v>
      </c>
      <c r="C588" t="str">
        <f t="shared" si="104"/>
        <v>gm. Prószków</v>
      </c>
      <c r="D588" t="str">
        <f t="shared" si="101"/>
        <v>opolski</v>
      </c>
      <c r="E588" t="str">
        <f t="shared" si="102"/>
        <v>opolskie</v>
      </c>
      <c r="F588">
        <v>5</v>
      </c>
      <c r="G588" t="str">
        <f>"Świetlica Wiejska, ul. Opolska 47, Zimnice Wielkie"</f>
        <v>Świetlica Wiejska, ul. Opolska 47, Zimnice Wielkie</v>
      </c>
      <c r="H588">
        <v>954</v>
      </c>
      <c r="I588">
        <v>880</v>
      </c>
      <c r="J588">
        <v>347</v>
      </c>
      <c r="K588">
        <v>0</v>
      </c>
      <c r="L588">
        <v>533</v>
      </c>
      <c r="M588">
        <v>347</v>
      </c>
      <c r="N588">
        <v>343</v>
      </c>
      <c r="O588">
        <v>4</v>
      </c>
      <c r="P588">
        <v>96</v>
      </c>
      <c r="Q588">
        <v>247</v>
      </c>
    </row>
    <row r="589" spans="1:17" ht="14.25">
      <c r="A589">
        <v>585</v>
      </c>
      <c r="B589" t="str">
        <f t="shared" si="103"/>
        <v>160910</v>
      </c>
      <c r="C589" t="str">
        <f t="shared" si="104"/>
        <v>gm. Prószków</v>
      </c>
      <c r="D589" t="str">
        <f t="shared" si="101"/>
        <v>opolski</v>
      </c>
      <c r="E589" t="str">
        <f t="shared" si="102"/>
        <v>opolskie</v>
      </c>
      <c r="F589">
        <v>6</v>
      </c>
      <c r="G589" t="str">
        <f>"Świetlica Wiejska, ul. Szkolna 14, Winów"</f>
        <v>Świetlica Wiejska, ul. Szkolna 14, Winów</v>
      </c>
      <c r="H589">
        <v>558</v>
      </c>
      <c r="I589">
        <v>560</v>
      </c>
      <c r="J589">
        <v>289</v>
      </c>
      <c r="K589">
        <v>0</v>
      </c>
      <c r="L589">
        <v>271</v>
      </c>
      <c r="M589">
        <v>289</v>
      </c>
      <c r="N589">
        <v>286</v>
      </c>
      <c r="O589">
        <v>3</v>
      </c>
      <c r="P589">
        <v>82</v>
      </c>
      <c r="Q589">
        <v>204</v>
      </c>
    </row>
    <row r="590" spans="1:17" ht="14.25">
      <c r="A590">
        <v>586</v>
      </c>
      <c r="B590" t="str">
        <f t="shared" si="103"/>
        <v>160910</v>
      </c>
      <c r="C590" t="str">
        <f t="shared" si="104"/>
        <v>gm. Prószków</v>
      </c>
      <c r="D590" t="str">
        <f t="shared" si="101"/>
        <v>opolski</v>
      </c>
      <c r="E590" t="str">
        <f t="shared" si="102"/>
        <v>opolskie</v>
      </c>
      <c r="F590">
        <v>7</v>
      </c>
      <c r="G590" t="str">
        <f>"Świetlica Wiejska, ul. Szkolna 14, Przysiecz"</f>
        <v>Świetlica Wiejska, ul. Szkolna 14, Przysiecz</v>
      </c>
      <c r="H590">
        <v>481</v>
      </c>
      <c r="I590">
        <v>477</v>
      </c>
      <c r="J590">
        <v>210</v>
      </c>
      <c r="K590">
        <v>0</v>
      </c>
      <c r="L590">
        <v>267</v>
      </c>
      <c r="M590">
        <v>210</v>
      </c>
      <c r="N590">
        <v>196</v>
      </c>
      <c r="O590">
        <v>14</v>
      </c>
      <c r="P590">
        <v>42</v>
      </c>
      <c r="Q590">
        <v>154</v>
      </c>
    </row>
    <row r="591" spans="1:17" ht="14.25">
      <c r="A591">
        <v>587</v>
      </c>
      <c r="B591" t="str">
        <f t="shared" si="103"/>
        <v>160910</v>
      </c>
      <c r="C591" t="str">
        <f t="shared" si="104"/>
        <v>gm. Prószków</v>
      </c>
      <c r="D591" t="str">
        <f t="shared" si="101"/>
        <v>opolski</v>
      </c>
      <c r="E591" t="str">
        <f t="shared" si="102"/>
        <v>opolskie</v>
      </c>
      <c r="F591">
        <v>8</v>
      </c>
      <c r="G591" t="str">
        <f>"Świetlica Wiejska, ul.Opolska 40, Złotniki"</f>
        <v>Świetlica Wiejska, ul.Opolska 40, Złotniki</v>
      </c>
      <c r="H591">
        <v>676</v>
      </c>
      <c r="I591">
        <v>716</v>
      </c>
      <c r="J591">
        <v>209</v>
      </c>
      <c r="K591">
        <v>0</v>
      </c>
      <c r="L591">
        <v>507</v>
      </c>
      <c r="M591">
        <v>209</v>
      </c>
      <c r="N591">
        <v>205</v>
      </c>
      <c r="O591">
        <v>4</v>
      </c>
      <c r="P591">
        <v>58</v>
      </c>
      <c r="Q591">
        <v>147</v>
      </c>
    </row>
    <row r="592" spans="1:17" ht="14.25">
      <c r="A592">
        <v>588</v>
      </c>
      <c r="B592" t="str">
        <f t="shared" si="103"/>
        <v>160910</v>
      </c>
      <c r="C592" t="str">
        <f t="shared" si="104"/>
        <v>gm. Prószków</v>
      </c>
      <c r="D592" t="str">
        <f t="shared" si="101"/>
        <v>opolski</v>
      </c>
      <c r="E592" t="str">
        <f t="shared" si="102"/>
        <v>opolskie</v>
      </c>
      <c r="F592">
        <v>9</v>
      </c>
      <c r="G592" t="str">
        <f>"Dom Pomocy Społecznej, ul. Zamkowa 8, Prószków"</f>
        <v>Dom Pomocy Społecznej, ul. Zamkowa 8, Prószków</v>
      </c>
      <c r="H592">
        <v>119</v>
      </c>
      <c r="I592">
        <v>146</v>
      </c>
      <c r="J592">
        <v>50</v>
      </c>
      <c r="K592">
        <v>0</v>
      </c>
      <c r="L592">
        <v>96</v>
      </c>
      <c r="M592">
        <v>50</v>
      </c>
      <c r="N592">
        <v>44</v>
      </c>
      <c r="O592">
        <v>6</v>
      </c>
      <c r="P592">
        <v>13</v>
      </c>
      <c r="Q592">
        <v>31</v>
      </c>
    </row>
    <row r="593" spans="1:17" ht="14.25">
      <c r="A593">
        <v>589</v>
      </c>
      <c r="B593" t="str">
        <f aca="true" t="shared" si="105" ref="B593:B600">"160911"</f>
        <v>160911</v>
      </c>
      <c r="C593" t="str">
        <f aca="true" t="shared" si="106" ref="C593:C600">"gm. Tarnów Opolski"</f>
        <v>gm. Tarnów Opolski</v>
      </c>
      <c r="D593" t="str">
        <f t="shared" si="101"/>
        <v>opolski</v>
      </c>
      <c r="E593" t="str">
        <f t="shared" si="102"/>
        <v>opolskie</v>
      </c>
      <c r="F593">
        <v>1</v>
      </c>
      <c r="G593" t="str">
        <f>"Szkoła Podstawowa, ul. Szkolna 8, Kąty Opolskie"</f>
        <v>Szkoła Podstawowa, ul. Szkolna 8, Kąty Opolskie</v>
      </c>
      <c r="H593">
        <v>789</v>
      </c>
      <c r="I593">
        <v>723</v>
      </c>
      <c r="J593">
        <v>259</v>
      </c>
      <c r="K593">
        <v>0</v>
      </c>
      <c r="L593">
        <v>464</v>
      </c>
      <c r="M593">
        <v>259</v>
      </c>
      <c r="N593">
        <v>258</v>
      </c>
      <c r="O593">
        <v>1</v>
      </c>
      <c r="P593">
        <v>62</v>
      </c>
      <c r="Q593">
        <v>196</v>
      </c>
    </row>
    <row r="594" spans="1:17" ht="14.25">
      <c r="A594">
        <v>590</v>
      </c>
      <c r="B594" t="str">
        <f t="shared" si="105"/>
        <v>160911</v>
      </c>
      <c r="C594" t="str">
        <f t="shared" si="106"/>
        <v>gm. Tarnów Opolski</v>
      </c>
      <c r="D594" t="str">
        <f t="shared" si="101"/>
        <v>opolski</v>
      </c>
      <c r="E594" t="str">
        <f t="shared" si="102"/>
        <v>opolskie</v>
      </c>
      <c r="F594">
        <v>2</v>
      </c>
      <c r="G594" t="str">
        <f>"Wiejski Dom Kultury, ul. Wiejska 83, Przywory"</f>
        <v>Wiejski Dom Kultury, ul. Wiejska 83, Przywory</v>
      </c>
      <c r="H594">
        <v>915</v>
      </c>
      <c r="I594">
        <v>880</v>
      </c>
      <c r="J594">
        <v>386</v>
      </c>
      <c r="K594">
        <v>0</v>
      </c>
      <c r="L594">
        <v>494</v>
      </c>
      <c r="M594">
        <v>386</v>
      </c>
      <c r="N594">
        <v>385</v>
      </c>
      <c r="O594">
        <v>1</v>
      </c>
      <c r="P594">
        <v>104</v>
      </c>
      <c r="Q594">
        <v>281</v>
      </c>
    </row>
    <row r="595" spans="1:17" ht="14.25">
      <c r="A595">
        <v>591</v>
      </c>
      <c r="B595" t="str">
        <f t="shared" si="105"/>
        <v>160911</v>
      </c>
      <c r="C595" t="str">
        <f t="shared" si="106"/>
        <v>gm. Tarnów Opolski</v>
      </c>
      <c r="D595" t="str">
        <f t="shared" si="101"/>
        <v>opolski</v>
      </c>
      <c r="E595" t="str">
        <f t="shared" si="102"/>
        <v>opolskie</v>
      </c>
      <c r="F595">
        <v>3</v>
      </c>
      <c r="G595" t="str">
        <f>"Gminny Ośrodek Kultury - Filia Miedziana, ul. Wiejska 68, Miedziana"</f>
        <v>Gminny Ośrodek Kultury - Filia Miedziana, ul. Wiejska 68, Miedziana</v>
      </c>
      <c r="H595">
        <v>519</v>
      </c>
      <c r="I595">
        <v>580</v>
      </c>
      <c r="J595">
        <v>181</v>
      </c>
      <c r="K595">
        <v>0</v>
      </c>
      <c r="L595">
        <v>399</v>
      </c>
      <c r="M595">
        <v>181</v>
      </c>
      <c r="N595">
        <v>180</v>
      </c>
      <c r="O595">
        <v>1</v>
      </c>
      <c r="P595">
        <v>52</v>
      </c>
      <c r="Q595">
        <v>128</v>
      </c>
    </row>
    <row r="596" spans="1:17" ht="14.25">
      <c r="A596">
        <v>592</v>
      </c>
      <c r="B596" t="str">
        <f t="shared" si="105"/>
        <v>160911</v>
      </c>
      <c r="C596" t="str">
        <f t="shared" si="106"/>
        <v>gm. Tarnów Opolski</v>
      </c>
      <c r="D596" t="str">
        <f t="shared" si="101"/>
        <v>opolski</v>
      </c>
      <c r="E596" t="str">
        <f t="shared" si="102"/>
        <v>opolskie</v>
      </c>
      <c r="F596">
        <v>4</v>
      </c>
      <c r="G596" t="str">
        <f>"Publiczna Szkoła Podstawowa w Tarnowie Opolskim - Filia w Kosorowicach, ul. Opolska 53, Kosorowice"</f>
        <v>Publiczna Szkoła Podstawowa w Tarnowie Opolskim - Filia w Kosorowicach, ul. Opolska 53, Kosorowice</v>
      </c>
      <c r="H596">
        <v>781</v>
      </c>
      <c r="I596">
        <v>721</v>
      </c>
      <c r="J596">
        <v>273</v>
      </c>
      <c r="K596">
        <v>0</v>
      </c>
      <c r="L596">
        <v>448</v>
      </c>
      <c r="M596">
        <v>273</v>
      </c>
      <c r="N596">
        <v>271</v>
      </c>
      <c r="O596">
        <v>2</v>
      </c>
      <c r="P596">
        <v>74</v>
      </c>
      <c r="Q596">
        <v>197</v>
      </c>
    </row>
    <row r="597" spans="1:17" ht="14.25">
      <c r="A597">
        <v>593</v>
      </c>
      <c r="B597" t="str">
        <f t="shared" si="105"/>
        <v>160911</v>
      </c>
      <c r="C597" t="str">
        <f t="shared" si="106"/>
        <v>gm. Tarnów Opolski</v>
      </c>
      <c r="D597" t="str">
        <f t="shared" si="101"/>
        <v>opolski</v>
      </c>
      <c r="E597" t="str">
        <f t="shared" si="102"/>
        <v>opolskie</v>
      </c>
      <c r="F597">
        <v>5</v>
      </c>
      <c r="G597" t="str">
        <f>"Remiza OSP, ul. Klimasa 9, Tarnów Opolski"</f>
        <v>Remiza OSP, ul. Klimasa 9, Tarnów Opolski</v>
      </c>
      <c r="H597">
        <v>1436</v>
      </c>
      <c r="I597">
        <v>1376</v>
      </c>
      <c r="J597">
        <v>618</v>
      </c>
      <c r="K597">
        <v>0</v>
      </c>
      <c r="L597">
        <v>758</v>
      </c>
      <c r="M597">
        <v>617</v>
      </c>
      <c r="N597">
        <v>611</v>
      </c>
      <c r="O597">
        <v>6</v>
      </c>
      <c r="P597">
        <v>146</v>
      </c>
      <c r="Q597">
        <v>465</v>
      </c>
    </row>
    <row r="598" spans="1:17" ht="14.25">
      <c r="A598">
        <v>594</v>
      </c>
      <c r="B598" t="str">
        <f t="shared" si="105"/>
        <v>160911</v>
      </c>
      <c r="C598" t="str">
        <f t="shared" si="106"/>
        <v>gm. Tarnów Opolski</v>
      </c>
      <c r="D598" t="str">
        <f t="shared" si="101"/>
        <v>opolski</v>
      </c>
      <c r="E598" t="str">
        <f t="shared" si="102"/>
        <v>opolskie</v>
      </c>
      <c r="F598">
        <v>6</v>
      </c>
      <c r="G598" t="str">
        <f>"Gminny Ośrodek Kultury, ul. Osiedle Zakładowe 7, Tarnów Opolski"</f>
        <v>Gminny Ośrodek Kultury, ul. Osiedle Zakładowe 7, Tarnów Opolski</v>
      </c>
      <c r="H598">
        <v>1569</v>
      </c>
      <c r="I598">
        <v>1439</v>
      </c>
      <c r="J598">
        <v>721</v>
      </c>
      <c r="K598">
        <v>0</v>
      </c>
      <c r="L598">
        <v>718</v>
      </c>
      <c r="M598">
        <v>721</v>
      </c>
      <c r="N598">
        <v>713</v>
      </c>
      <c r="O598">
        <v>8</v>
      </c>
      <c r="P598">
        <v>196</v>
      </c>
      <c r="Q598">
        <v>517</v>
      </c>
    </row>
    <row r="599" spans="1:17" ht="14.25">
      <c r="A599">
        <v>595</v>
      </c>
      <c r="B599" t="str">
        <f t="shared" si="105"/>
        <v>160911</v>
      </c>
      <c r="C599" t="str">
        <f t="shared" si="106"/>
        <v>gm. Tarnów Opolski</v>
      </c>
      <c r="D599" t="str">
        <f t="shared" si="101"/>
        <v>opolski</v>
      </c>
      <c r="E599" t="str">
        <f t="shared" si="102"/>
        <v>opolskie</v>
      </c>
      <c r="F599">
        <v>7</v>
      </c>
      <c r="G599" t="str">
        <f>"Szkoła Podstawowa, ul. Strzelecka 51, Nakło"</f>
        <v>Szkoła Podstawowa, ul. Strzelecka 51, Nakło</v>
      </c>
      <c r="H599">
        <v>1186</v>
      </c>
      <c r="I599">
        <v>1120</v>
      </c>
      <c r="J599">
        <v>354</v>
      </c>
      <c r="K599">
        <v>0</v>
      </c>
      <c r="L599">
        <v>766</v>
      </c>
      <c r="M599">
        <v>354</v>
      </c>
      <c r="N599">
        <v>352</v>
      </c>
      <c r="O599">
        <v>2</v>
      </c>
      <c r="P599">
        <v>71</v>
      </c>
      <c r="Q599">
        <v>281</v>
      </c>
    </row>
    <row r="600" spans="1:17" ht="14.25">
      <c r="A600">
        <v>596</v>
      </c>
      <c r="B600" t="str">
        <f t="shared" si="105"/>
        <v>160911</v>
      </c>
      <c r="C600" t="str">
        <f t="shared" si="106"/>
        <v>gm. Tarnów Opolski</v>
      </c>
      <c r="D600" t="str">
        <f t="shared" si="101"/>
        <v>opolski</v>
      </c>
      <c r="E600" t="str">
        <f t="shared" si="102"/>
        <v>opolskie</v>
      </c>
      <c r="F600">
        <v>8</v>
      </c>
      <c r="G600" t="str">
        <f>"Remiza OSP, ul. Ozimska 39, Raszowa"</f>
        <v>Remiza OSP, ul. Ozimska 39, Raszowa</v>
      </c>
      <c r="H600">
        <v>636</v>
      </c>
      <c r="I600">
        <v>640</v>
      </c>
      <c r="J600">
        <v>221</v>
      </c>
      <c r="K600">
        <v>0</v>
      </c>
      <c r="L600">
        <v>419</v>
      </c>
      <c r="M600">
        <v>221</v>
      </c>
      <c r="N600">
        <v>219</v>
      </c>
      <c r="O600">
        <v>2</v>
      </c>
      <c r="P600">
        <v>53</v>
      </c>
      <c r="Q600">
        <v>166</v>
      </c>
    </row>
    <row r="601" spans="1:17" ht="14.25">
      <c r="A601">
        <v>597</v>
      </c>
      <c r="B601" t="str">
        <f>"160912"</f>
        <v>160912</v>
      </c>
      <c r="C601" t="str">
        <f>"gm. Tułowice"</f>
        <v>gm. Tułowice</v>
      </c>
      <c r="D601" t="str">
        <f t="shared" si="101"/>
        <v>opolski</v>
      </c>
      <c r="E601" t="str">
        <f t="shared" si="102"/>
        <v>opolskie</v>
      </c>
      <c r="F601">
        <v>1</v>
      </c>
      <c r="G601" t="str">
        <f>"Świetlica wiejska w Szydłowie, ul. Kościelna 2, Szydłów"</f>
        <v>Świetlica wiejska w Szydłowie, ul. Kościelna 2, Szydłów</v>
      </c>
      <c r="H601">
        <v>377</v>
      </c>
      <c r="I601">
        <v>400</v>
      </c>
      <c r="J601">
        <v>192</v>
      </c>
      <c r="K601">
        <v>0</v>
      </c>
      <c r="L601">
        <v>208</v>
      </c>
      <c r="M601">
        <v>192</v>
      </c>
      <c r="N601">
        <v>190</v>
      </c>
      <c r="O601">
        <v>2</v>
      </c>
      <c r="P601">
        <v>57</v>
      </c>
      <c r="Q601">
        <v>133</v>
      </c>
    </row>
    <row r="602" spans="1:17" ht="14.25">
      <c r="A602">
        <v>598</v>
      </c>
      <c r="B602" t="str">
        <f>"160912"</f>
        <v>160912</v>
      </c>
      <c r="C602" t="str">
        <f>"gm. Tułowice"</f>
        <v>gm. Tułowice</v>
      </c>
      <c r="D602" t="str">
        <f t="shared" si="101"/>
        <v>opolski</v>
      </c>
      <c r="E602" t="str">
        <f t="shared" si="102"/>
        <v>opolskie</v>
      </c>
      <c r="F602">
        <v>2</v>
      </c>
      <c r="G602" t="str">
        <f>"Tułowicki Ośrodek Kultury W Tułowicach, ul. Generała Świerczewskiego nr 8, Tułowice"</f>
        <v>Tułowicki Ośrodek Kultury W Tułowicach, ul. Generała Świerczewskiego nr 8, Tułowice</v>
      </c>
      <c r="H602">
        <v>2064</v>
      </c>
      <c r="I602">
        <v>1918</v>
      </c>
      <c r="J602">
        <v>958</v>
      </c>
      <c r="K602">
        <v>2</v>
      </c>
      <c r="L602">
        <v>960</v>
      </c>
      <c r="M602">
        <v>958</v>
      </c>
      <c r="N602">
        <v>944</v>
      </c>
      <c r="O602">
        <v>14</v>
      </c>
      <c r="P602">
        <v>375</v>
      </c>
      <c r="Q602">
        <v>569</v>
      </c>
    </row>
    <row r="603" spans="1:17" ht="14.25">
      <c r="A603">
        <v>599</v>
      </c>
      <c r="B603" t="str">
        <f>"160912"</f>
        <v>160912</v>
      </c>
      <c r="C603" t="str">
        <f>"gm. Tułowice"</f>
        <v>gm. Tułowice</v>
      </c>
      <c r="D603" t="str">
        <f t="shared" si="101"/>
        <v>opolski</v>
      </c>
      <c r="E603" t="str">
        <f t="shared" si="102"/>
        <v>opolskie</v>
      </c>
      <c r="F603">
        <v>3</v>
      </c>
      <c r="G603" t="str">
        <f>"Szkoła Podstawowa w Tułowicach, ul. Generała Świerczewskiego nr 21, Tułowice"</f>
        <v>Szkoła Podstawowa w Tułowicach, ul. Generała Świerczewskiego nr 21, Tułowice</v>
      </c>
      <c r="H603">
        <v>1481</v>
      </c>
      <c r="I603">
        <v>1440</v>
      </c>
      <c r="J603">
        <v>771</v>
      </c>
      <c r="K603">
        <v>0</v>
      </c>
      <c r="L603">
        <v>669</v>
      </c>
      <c r="M603">
        <v>771</v>
      </c>
      <c r="N603">
        <v>761</v>
      </c>
      <c r="O603">
        <v>10</v>
      </c>
      <c r="P603">
        <v>248</v>
      </c>
      <c r="Q603">
        <v>513</v>
      </c>
    </row>
    <row r="604" spans="1:17" ht="14.25">
      <c r="A604">
        <v>600</v>
      </c>
      <c r="B604" t="str">
        <f>"160912"</f>
        <v>160912</v>
      </c>
      <c r="C604" t="str">
        <f>"gm. Tułowice"</f>
        <v>gm. Tułowice</v>
      </c>
      <c r="D604" t="str">
        <f t="shared" si="101"/>
        <v>opolski</v>
      </c>
      <c r="E604" t="str">
        <f t="shared" si="102"/>
        <v>opolskie</v>
      </c>
      <c r="F604">
        <v>4</v>
      </c>
      <c r="G604" t="str">
        <f>"Remiza Strażacka w Goszczowicach, Goszczowice 43a, Goszczowice"</f>
        <v>Remiza Strażacka w Goszczowicach, Goszczowice 43a, Goszczowice</v>
      </c>
      <c r="H604">
        <v>227</v>
      </c>
      <c r="I604">
        <v>240</v>
      </c>
      <c r="J604">
        <v>115</v>
      </c>
      <c r="K604">
        <v>0</v>
      </c>
      <c r="L604">
        <v>125</v>
      </c>
      <c r="M604">
        <v>115</v>
      </c>
      <c r="N604">
        <v>108</v>
      </c>
      <c r="O604">
        <v>7</v>
      </c>
      <c r="P604">
        <v>35</v>
      </c>
      <c r="Q604">
        <v>73</v>
      </c>
    </row>
    <row r="605" spans="1:17" ht="14.25">
      <c r="A605">
        <v>601</v>
      </c>
      <c r="B605" t="str">
        <f>"160912"</f>
        <v>160912</v>
      </c>
      <c r="C605" t="str">
        <f>"gm. Tułowice"</f>
        <v>gm. Tułowice</v>
      </c>
      <c r="D605" t="str">
        <f t="shared" si="101"/>
        <v>opolski</v>
      </c>
      <c r="E605" t="str">
        <f t="shared" si="102"/>
        <v>opolskie</v>
      </c>
      <c r="F605">
        <v>5</v>
      </c>
      <c r="G605" t="str">
        <f>"Świetlica Wiejska, Skarbiszowice 17, Skarbiszowice"</f>
        <v>Świetlica Wiejska, Skarbiszowice 17, Skarbiszowice</v>
      </c>
      <c r="H605">
        <v>175</v>
      </c>
      <c r="I605">
        <v>194</v>
      </c>
      <c r="J605">
        <v>85</v>
      </c>
      <c r="K605">
        <v>0</v>
      </c>
      <c r="L605">
        <v>109</v>
      </c>
      <c r="M605">
        <v>85</v>
      </c>
      <c r="N605">
        <v>83</v>
      </c>
      <c r="O605">
        <v>2</v>
      </c>
      <c r="P605">
        <v>25</v>
      </c>
      <c r="Q605">
        <v>58</v>
      </c>
    </row>
    <row r="606" spans="1:17" ht="14.25">
      <c r="A606">
        <v>602</v>
      </c>
      <c r="B606" t="str">
        <f aca="true" t="shared" si="107" ref="B606:B614">"160913"</f>
        <v>160913</v>
      </c>
      <c r="C606" t="str">
        <f aca="true" t="shared" si="108" ref="C606:C614">"gm. Turawa"</f>
        <v>gm. Turawa</v>
      </c>
      <c r="D606" t="str">
        <f aca="true" t="shared" si="109" ref="D606:D614">"opolski"</f>
        <v>opolski</v>
      </c>
      <c r="E606" t="str">
        <f t="shared" si="102"/>
        <v>opolskie</v>
      </c>
      <c r="F606">
        <v>1</v>
      </c>
      <c r="G606" t="str">
        <f>"Szkoła Podstawowa, ul. Szkolna 1, Bierdzany"</f>
        <v>Szkoła Podstawowa, ul. Szkolna 1, Bierdzany</v>
      </c>
      <c r="H606">
        <v>788</v>
      </c>
      <c r="I606">
        <v>720</v>
      </c>
      <c r="J606">
        <v>259</v>
      </c>
      <c r="K606">
        <v>0</v>
      </c>
      <c r="L606">
        <v>461</v>
      </c>
      <c r="M606">
        <v>259</v>
      </c>
      <c r="N606">
        <v>255</v>
      </c>
      <c r="O606">
        <v>4</v>
      </c>
      <c r="P606">
        <v>56</v>
      </c>
      <c r="Q606">
        <v>199</v>
      </c>
    </row>
    <row r="607" spans="1:17" ht="14.25">
      <c r="A607">
        <v>603</v>
      </c>
      <c r="B607" t="str">
        <f t="shared" si="107"/>
        <v>160913</v>
      </c>
      <c r="C607" t="str">
        <f t="shared" si="108"/>
        <v>gm. Turawa</v>
      </c>
      <c r="D607" t="str">
        <f t="shared" si="109"/>
        <v>opolski</v>
      </c>
      <c r="E607" t="str">
        <f t="shared" si="102"/>
        <v>opolskie</v>
      </c>
      <c r="F607">
        <v>2</v>
      </c>
      <c r="G607" t="str">
        <f>"Szkoła Podstawowa, ul. Główna 12, Kadłub Turawski"</f>
        <v>Szkoła Podstawowa, ul. Główna 12, Kadłub Turawski</v>
      </c>
      <c r="H607">
        <v>753</v>
      </c>
      <c r="I607">
        <v>714</v>
      </c>
      <c r="J607">
        <v>231</v>
      </c>
      <c r="K607">
        <v>0</v>
      </c>
      <c r="L607">
        <v>483</v>
      </c>
      <c r="M607">
        <v>231</v>
      </c>
      <c r="N607">
        <v>231</v>
      </c>
      <c r="O607">
        <v>0</v>
      </c>
      <c r="P607">
        <v>61</v>
      </c>
      <c r="Q607">
        <v>170</v>
      </c>
    </row>
    <row r="608" spans="1:17" ht="14.25">
      <c r="A608">
        <v>604</v>
      </c>
      <c r="B608" t="str">
        <f t="shared" si="107"/>
        <v>160913</v>
      </c>
      <c r="C608" t="str">
        <f t="shared" si="108"/>
        <v>gm. Turawa</v>
      </c>
      <c r="D608" t="str">
        <f t="shared" si="109"/>
        <v>opolski</v>
      </c>
      <c r="E608" t="str">
        <f t="shared" si="102"/>
        <v>opolskie</v>
      </c>
      <c r="F608">
        <v>3</v>
      </c>
      <c r="G608" t="str">
        <f>"Szkoła Podstawowa, ul. 1 Maja 6, Kotórz Mały"</f>
        <v>Szkoła Podstawowa, ul. 1 Maja 6, Kotórz Mały</v>
      </c>
      <c r="H608">
        <v>1106</v>
      </c>
      <c r="I608">
        <v>1038</v>
      </c>
      <c r="J608">
        <v>499</v>
      </c>
      <c r="K608">
        <v>1</v>
      </c>
      <c r="L608">
        <v>539</v>
      </c>
      <c r="M608">
        <v>499</v>
      </c>
      <c r="N608">
        <v>489</v>
      </c>
      <c r="O608">
        <v>10</v>
      </c>
      <c r="P608">
        <v>94</v>
      </c>
      <c r="Q608">
        <v>395</v>
      </c>
    </row>
    <row r="609" spans="1:17" ht="14.25">
      <c r="A609">
        <v>605</v>
      </c>
      <c r="B609" t="str">
        <f t="shared" si="107"/>
        <v>160913</v>
      </c>
      <c r="C609" t="str">
        <f t="shared" si="108"/>
        <v>gm. Turawa</v>
      </c>
      <c r="D609" t="str">
        <f t="shared" si="109"/>
        <v>opolski</v>
      </c>
      <c r="E609" t="str">
        <f t="shared" si="102"/>
        <v>opolskie</v>
      </c>
      <c r="F609">
        <v>4</v>
      </c>
      <c r="G609" t="str">
        <f>"Szkoła Podstawowa, ul. Główna 32, Ligota Turawska"</f>
        <v>Szkoła Podstawowa, ul. Główna 32, Ligota Turawska</v>
      </c>
      <c r="H609">
        <v>630</v>
      </c>
      <c r="I609">
        <v>640</v>
      </c>
      <c r="J609">
        <v>171</v>
      </c>
      <c r="K609">
        <v>0</v>
      </c>
      <c r="L609">
        <v>469</v>
      </c>
      <c r="M609">
        <v>171</v>
      </c>
      <c r="N609">
        <v>170</v>
      </c>
      <c r="O609">
        <v>1</v>
      </c>
      <c r="P609">
        <v>26</v>
      </c>
      <c r="Q609">
        <v>144</v>
      </c>
    </row>
    <row r="610" spans="1:17" ht="14.25">
      <c r="A610">
        <v>606</v>
      </c>
      <c r="B610" t="str">
        <f t="shared" si="107"/>
        <v>160913</v>
      </c>
      <c r="C610" t="str">
        <f t="shared" si="108"/>
        <v>gm. Turawa</v>
      </c>
      <c r="D610" t="str">
        <f t="shared" si="109"/>
        <v>opolski</v>
      </c>
      <c r="E610" t="str">
        <f t="shared" si="102"/>
        <v>opolskie</v>
      </c>
      <c r="F610">
        <v>5</v>
      </c>
      <c r="G610" t="str">
        <f>"Szkoła Podstawowa, ul. Fabryczna 1, Osowiec"</f>
        <v>Szkoła Podstawowa, ul. Fabryczna 1, Osowiec</v>
      </c>
      <c r="H610">
        <v>1162</v>
      </c>
      <c r="I610">
        <v>1120</v>
      </c>
      <c r="J610">
        <v>498</v>
      </c>
      <c r="K610">
        <v>0</v>
      </c>
      <c r="L610">
        <v>622</v>
      </c>
      <c r="M610">
        <v>497</v>
      </c>
      <c r="N610">
        <v>492</v>
      </c>
      <c r="O610">
        <v>5</v>
      </c>
      <c r="P610">
        <v>121</v>
      </c>
      <c r="Q610">
        <v>371</v>
      </c>
    </row>
    <row r="611" spans="1:17" ht="14.25">
      <c r="A611">
        <v>607</v>
      </c>
      <c r="B611" t="str">
        <f t="shared" si="107"/>
        <v>160913</v>
      </c>
      <c r="C611" t="str">
        <f t="shared" si="108"/>
        <v>gm. Turawa</v>
      </c>
      <c r="D611" t="str">
        <f t="shared" si="109"/>
        <v>opolski</v>
      </c>
      <c r="E611" t="str">
        <f t="shared" si="102"/>
        <v>opolskie</v>
      </c>
      <c r="F611">
        <v>6</v>
      </c>
      <c r="G611" t="str">
        <f>"Urząd Gminy, ul. Opolska 39c, Turawa"</f>
        <v>Urząd Gminy, ul. Opolska 39c, Turawa</v>
      </c>
      <c r="H611">
        <v>1019</v>
      </c>
      <c r="I611">
        <v>880</v>
      </c>
      <c r="J611">
        <v>550</v>
      </c>
      <c r="K611">
        <v>0</v>
      </c>
      <c r="L611">
        <v>330</v>
      </c>
      <c r="M611">
        <v>550</v>
      </c>
      <c r="N611">
        <v>537</v>
      </c>
      <c r="O611">
        <v>13</v>
      </c>
      <c r="P611">
        <v>110</v>
      </c>
      <c r="Q611">
        <v>427</v>
      </c>
    </row>
    <row r="612" spans="1:17" ht="14.25">
      <c r="A612">
        <v>608</v>
      </c>
      <c r="B612" t="str">
        <f t="shared" si="107"/>
        <v>160913</v>
      </c>
      <c r="C612" t="str">
        <f t="shared" si="108"/>
        <v>gm. Turawa</v>
      </c>
      <c r="D612" t="str">
        <f t="shared" si="109"/>
        <v>opolski</v>
      </c>
      <c r="E612" t="str">
        <f t="shared" si="102"/>
        <v>opolskie</v>
      </c>
      <c r="F612">
        <v>7</v>
      </c>
      <c r="G612" t="str">
        <f>"Szkoła Podstawowa, ul. Główna 20, Zakrzów Turawski"</f>
        <v>Szkoła Podstawowa, ul. Główna 20, Zakrzów Turawski</v>
      </c>
      <c r="H612">
        <v>548</v>
      </c>
      <c r="I612">
        <v>584</v>
      </c>
      <c r="J612">
        <v>102</v>
      </c>
      <c r="K612">
        <v>0</v>
      </c>
      <c r="L612">
        <v>482</v>
      </c>
      <c r="M612">
        <v>102</v>
      </c>
      <c r="N612">
        <v>102</v>
      </c>
      <c r="O612">
        <v>0</v>
      </c>
      <c r="P612">
        <v>21</v>
      </c>
      <c r="Q612">
        <v>81</v>
      </c>
    </row>
    <row r="613" spans="1:17" ht="14.25">
      <c r="A613">
        <v>609</v>
      </c>
      <c r="B613" t="str">
        <f t="shared" si="107"/>
        <v>160913</v>
      </c>
      <c r="C613" t="str">
        <f t="shared" si="108"/>
        <v>gm. Turawa</v>
      </c>
      <c r="D613" t="str">
        <f t="shared" si="109"/>
        <v>opolski</v>
      </c>
      <c r="E613" t="str">
        <f t="shared" si="102"/>
        <v>opolskie</v>
      </c>
      <c r="F613">
        <v>8</v>
      </c>
      <c r="G613" t="str">
        <f>"Szkoła Podstawowa, ul. Kolanowska 4, Zawada"</f>
        <v>Szkoła Podstawowa, ul. Kolanowska 4, Zawada</v>
      </c>
      <c r="H613">
        <v>1120</v>
      </c>
      <c r="I613">
        <v>1040</v>
      </c>
      <c r="J613">
        <v>526</v>
      </c>
      <c r="K613">
        <v>0</v>
      </c>
      <c r="L613">
        <v>514</v>
      </c>
      <c r="M613">
        <v>526</v>
      </c>
      <c r="N613">
        <v>523</v>
      </c>
      <c r="O613">
        <v>3</v>
      </c>
      <c r="P613">
        <v>107</v>
      </c>
      <c r="Q613">
        <v>416</v>
      </c>
    </row>
    <row r="614" spans="1:17" ht="14.25">
      <c r="A614">
        <v>610</v>
      </c>
      <c r="B614" t="str">
        <f t="shared" si="107"/>
        <v>160913</v>
      </c>
      <c r="C614" t="str">
        <f t="shared" si="108"/>
        <v>gm. Turawa</v>
      </c>
      <c r="D614" t="str">
        <f t="shared" si="109"/>
        <v>opolski</v>
      </c>
      <c r="E614" t="str">
        <f t="shared" si="102"/>
        <v>opolskie</v>
      </c>
      <c r="F614">
        <v>9</v>
      </c>
      <c r="G614" t="s">
        <v>26</v>
      </c>
      <c r="H614">
        <v>763</v>
      </c>
      <c r="I614">
        <v>727</v>
      </c>
      <c r="J614">
        <v>348</v>
      </c>
      <c r="K614">
        <v>0</v>
      </c>
      <c r="L614">
        <v>379</v>
      </c>
      <c r="M614">
        <v>348</v>
      </c>
      <c r="N614">
        <v>341</v>
      </c>
      <c r="O614">
        <v>7</v>
      </c>
      <c r="P614">
        <v>60</v>
      </c>
      <c r="Q614">
        <v>281</v>
      </c>
    </row>
    <row r="615" spans="1:17" ht="14.25">
      <c r="A615">
        <v>611</v>
      </c>
      <c r="B615" t="str">
        <f aca="true" t="shared" si="110" ref="B615:B632">"161001"</f>
        <v>161001</v>
      </c>
      <c r="C615" t="str">
        <f aca="true" t="shared" si="111" ref="C615:C632">"gm. Biała"</f>
        <v>gm. Biała</v>
      </c>
      <c r="D615" t="str">
        <f aca="true" t="shared" si="112" ref="D615:D646">"prudnicki"</f>
        <v>prudnicki</v>
      </c>
      <c r="E615" t="str">
        <f t="shared" si="102"/>
        <v>opolskie</v>
      </c>
      <c r="F615">
        <v>1</v>
      </c>
      <c r="G615" t="str">
        <f>"Publiczne Gimnazjum, ul. Tysiąclecia 16, Biała"</f>
        <v>Publiczne Gimnazjum, ul. Tysiąclecia 16, Biała</v>
      </c>
      <c r="H615">
        <v>759</v>
      </c>
      <c r="I615">
        <v>725</v>
      </c>
      <c r="J615">
        <v>296</v>
      </c>
      <c r="K615">
        <v>0</v>
      </c>
      <c r="L615">
        <v>429</v>
      </c>
      <c r="M615">
        <v>296</v>
      </c>
      <c r="N615">
        <v>296</v>
      </c>
      <c r="O615">
        <v>0</v>
      </c>
      <c r="P615">
        <v>65</v>
      </c>
      <c r="Q615">
        <v>231</v>
      </c>
    </row>
    <row r="616" spans="1:17" ht="14.25">
      <c r="A616">
        <v>612</v>
      </c>
      <c r="B616" t="str">
        <f t="shared" si="110"/>
        <v>161001</v>
      </c>
      <c r="C616" t="str">
        <f t="shared" si="111"/>
        <v>gm. Biała</v>
      </c>
      <c r="D616" t="str">
        <f t="shared" si="112"/>
        <v>prudnicki</v>
      </c>
      <c r="E616" t="str">
        <f t="shared" si="102"/>
        <v>opolskie</v>
      </c>
      <c r="F616">
        <v>2</v>
      </c>
      <c r="G616" t="str">
        <f>"Urząd Miejski, ul. Rynek 10, Biała"</f>
        <v>Urząd Miejski, ul. Rynek 10, Biała</v>
      </c>
      <c r="H616">
        <v>670</v>
      </c>
      <c r="I616">
        <v>720</v>
      </c>
      <c r="J616">
        <v>299</v>
      </c>
      <c r="K616">
        <v>0</v>
      </c>
      <c r="L616">
        <v>421</v>
      </c>
      <c r="M616">
        <v>299</v>
      </c>
      <c r="N616">
        <v>297</v>
      </c>
      <c r="O616">
        <v>2</v>
      </c>
      <c r="P616">
        <v>81</v>
      </c>
      <c r="Q616">
        <v>216</v>
      </c>
    </row>
    <row r="617" spans="1:17" ht="14.25">
      <c r="A617">
        <v>613</v>
      </c>
      <c r="B617" t="str">
        <f t="shared" si="110"/>
        <v>161001</v>
      </c>
      <c r="C617" t="str">
        <f t="shared" si="111"/>
        <v>gm. Biała</v>
      </c>
      <c r="D617" t="str">
        <f t="shared" si="112"/>
        <v>prudnicki</v>
      </c>
      <c r="E617" t="str">
        <f t="shared" si="102"/>
        <v>opolskie</v>
      </c>
      <c r="F617">
        <v>3</v>
      </c>
      <c r="G617" t="str">
        <f>"Miejsko-Gminny Ośrodek Kultury, ul. Prudnicka 35, Biała"</f>
        <v>Miejsko-Gminny Ośrodek Kultury, ul. Prudnicka 35, Biała</v>
      </c>
      <c r="H617">
        <v>675</v>
      </c>
      <c r="I617">
        <v>640</v>
      </c>
      <c r="J617">
        <v>316</v>
      </c>
      <c r="K617">
        <v>0</v>
      </c>
      <c r="L617">
        <v>324</v>
      </c>
      <c r="M617">
        <v>316</v>
      </c>
      <c r="N617">
        <v>312</v>
      </c>
      <c r="O617">
        <v>4</v>
      </c>
      <c r="P617">
        <v>67</v>
      </c>
      <c r="Q617">
        <v>245</v>
      </c>
    </row>
    <row r="618" spans="1:17" ht="14.25">
      <c r="A618">
        <v>614</v>
      </c>
      <c r="B618" t="str">
        <f t="shared" si="110"/>
        <v>161001</v>
      </c>
      <c r="C618" t="str">
        <f t="shared" si="111"/>
        <v>gm. Biała</v>
      </c>
      <c r="D618" t="str">
        <f t="shared" si="112"/>
        <v>prudnicki</v>
      </c>
      <c r="E618" t="str">
        <f t="shared" si="102"/>
        <v>opolskie</v>
      </c>
      <c r="F618">
        <v>4</v>
      </c>
      <c r="G618" t="str">
        <f>"Wiejskie Centrum Kultury i Rekreacji, Chrzelice 177, Chrzelice"</f>
        <v>Wiejskie Centrum Kultury i Rekreacji, Chrzelice 177, Chrzelice</v>
      </c>
      <c r="H618">
        <v>497</v>
      </c>
      <c r="I618">
        <v>478</v>
      </c>
      <c r="J618">
        <v>190</v>
      </c>
      <c r="K618">
        <v>0</v>
      </c>
      <c r="L618">
        <v>288</v>
      </c>
      <c r="M618">
        <v>190</v>
      </c>
      <c r="N618">
        <v>189</v>
      </c>
      <c r="O618">
        <v>1</v>
      </c>
      <c r="P618">
        <v>40</v>
      </c>
      <c r="Q618">
        <v>149</v>
      </c>
    </row>
    <row r="619" spans="1:17" ht="14.25">
      <c r="A619">
        <v>615</v>
      </c>
      <c r="B619" t="str">
        <f t="shared" si="110"/>
        <v>161001</v>
      </c>
      <c r="C619" t="str">
        <f t="shared" si="111"/>
        <v>gm. Biała</v>
      </c>
      <c r="D619" t="str">
        <f t="shared" si="112"/>
        <v>prudnicki</v>
      </c>
      <c r="E619" t="str">
        <f t="shared" si="102"/>
        <v>opolskie</v>
      </c>
      <c r="F619">
        <v>5</v>
      </c>
      <c r="G619" t="str">
        <f>"Publiczne Gimnazjum, ul. Świerczewskiego 79 d, Łącznik"</f>
        <v>Publiczne Gimnazjum, ul. Świerczewskiego 79 d, Łącznik</v>
      </c>
      <c r="H619">
        <v>1253</v>
      </c>
      <c r="I619">
        <v>1199</v>
      </c>
      <c r="J619">
        <v>432</v>
      </c>
      <c r="K619">
        <v>0</v>
      </c>
      <c r="L619">
        <v>767</v>
      </c>
      <c r="M619">
        <v>432</v>
      </c>
      <c r="N619">
        <v>430</v>
      </c>
      <c r="O619">
        <v>2</v>
      </c>
      <c r="P619">
        <v>117</v>
      </c>
      <c r="Q619">
        <v>313</v>
      </c>
    </row>
    <row r="620" spans="1:17" ht="14.25">
      <c r="A620">
        <v>616</v>
      </c>
      <c r="B620" t="str">
        <f t="shared" si="110"/>
        <v>161001</v>
      </c>
      <c r="C620" t="str">
        <f t="shared" si="111"/>
        <v>gm. Biała</v>
      </c>
      <c r="D620" t="str">
        <f t="shared" si="112"/>
        <v>prudnicki</v>
      </c>
      <c r="E620" t="str">
        <f t="shared" si="102"/>
        <v>opolskie</v>
      </c>
      <c r="F620">
        <v>6</v>
      </c>
      <c r="G620" t="str">
        <f>"Szkoła Podstawowa, Pogórze 162, Pogórze"</f>
        <v>Szkoła Podstawowa, Pogórze 162, Pogórze</v>
      </c>
      <c r="H620">
        <v>995</v>
      </c>
      <c r="I620">
        <v>960</v>
      </c>
      <c r="J620">
        <v>264</v>
      </c>
      <c r="K620">
        <v>0</v>
      </c>
      <c r="L620">
        <v>696</v>
      </c>
      <c r="M620">
        <v>264</v>
      </c>
      <c r="N620">
        <v>261</v>
      </c>
      <c r="O620">
        <v>3</v>
      </c>
      <c r="P620">
        <v>64</v>
      </c>
      <c r="Q620">
        <v>197</v>
      </c>
    </row>
    <row r="621" spans="1:17" ht="14.25">
      <c r="A621">
        <v>617</v>
      </c>
      <c r="B621" t="str">
        <f t="shared" si="110"/>
        <v>161001</v>
      </c>
      <c r="C621" t="str">
        <f t="shared" si="111"/>
        <v>gm. Biała</v>
      </c>
      <c r="D621" t="str">
        <f t="shared" si="112"/>
        <v>prudnicki</v>
      </c>
      <c r="E621" t="str">
        <f t="shared" si="102"/>
        <v>opolskie</v>
      </c>
      <c r="F621">
        <v>7</v>
      </c>
      <c r="G621" t="str">
        <f>"Remiza OSP, Grabina 62, Grabina"</f>
        <v>Remiza OSP, Grabina 62, Grabina</v>
      </c>
      <c r="H621">
        <v>472</v>
      </c>
      <c r="I621">
        <v>477</v>
      </c>
      <c r="J621">
        <v>161</v>
      </c>
      <c r="K621">
        <v>0</v>
      </c>
      <c r="L621">
        <v>316</v>
      </c>
      <c r="M621">
        <v>161</v>
      </c>
      <c r="N621">
        <v>157</v>
      </c>
      <c r="O621">
        <v>4</v>
      </c>
      <c r="P621">
        <v>48</v>
      </c>
      <c r="Q621">
        <v>109</v>
      </c>
    </row>
    <row r="622" spans="1:17" ht="14.25">
      <c r="A622">
        <v>618</v>
      </c>
      <c r="B622" t="str">
        <f t="shared" si="110"/>
        <v>161001</v>
      </c>
      <c r="C622" t="str">
        <f t="shared" si="111"/>
        <v>gm. Biała</v>
      </c>
      <c r="D622" t="str">
        <f t="shared" si="112"/>
        <v>prudnicki</v>
      </c>
      <c r="E622" t="str">
        <f t="shared" si="102"/>
        <v>opolskie</v>
      </c>
      <c r="F622">
        <v>8</v>
      </c>
      <c r="G622" t="str">
        <f>"Sala Samorządu Mieszkańców, Ligota Bialska 60, Ligota Bialska"</f>
        <v>Sala Samorządu Mieszkańców, Ligota Bialska 60, Ligota Bialska</v>
      </c>
      <c r="H622">
        <v>766</v>
      </c>
      <c r="I622">
        <v>725</v>
      </c>
      <c r="J622">
        <v>194</v>
      </c>
      <c r="K622">
        <v>0</v>
      </c>
      <c r="L622">
        <v>531</v>
      </c>
      <c r="M622">
        <v>194</v>
      </c>
      <c r="N622">
        <v>189</v>
      </c>
      <c r="O622">
        <v>5</v>
      </c>
      <c r="P622">
        <v>54</v>
      </c>
      <c r="Q622">
        <v>135</v>
      </c>
    </row>
    <row r="623" spans="1:17" ht="14.25">
      <c r="A623">
        <v>619</v>
      </c>
      <c r="B623" t="str">
        <f t="shared" si="110"/>
        <v>161001</v>
      </c>
      <c r="C623" t="str">
        <f t="shared" si="111"/>
        <v>gm. Biała</v>
      </c>
      <c r="D623" t="str">
        <f t="shared" si="112"/>
        <v>prudnicki</v>
      </c>
      <c r="E623" t="str">
        <f t="shared" si="102"/>
        <v>opolskie</v>
      </c>
      <c r="F623">
        <v>9</v>
      </c>
      <c r="G623" t="str">
        <f>"Szkoła Podstawowa, Śmicz 106, Śmicz"</f>
        <v>Szkoła Podstawowa, Śmicz 106, Śmicz</v>
      </c>
      <c r="H623">
        <v>399</v>
      </c>
      <c r="I623">
        <v>400</v>
      </c>
      <c r="J623">
        <v>146</v>
      </c>
      <c r="K623">
        <v>0</v>
      </c>
      <c r="L623">
        <v>254</v>
      </c>
      <c r="M623">
        <v>146</v>
      </c>
      <c r="N623">
        <v>146</v>
      </c>
      <c r="O623">
        <v>0</v>
      </c>
      <c r="P623">
        <v>45</v>
      </c>
      <c r="Q623">
        <v>101</v>
      </c>
    </row>
    <row r="624" spans="1:17" ht="14.25">
      <c r="A624">
        <v>620</v>
      </c>
      <c r="B624" t="str">
        <f t="shared" si="110"/>
        <v>161001</v>
      </c>
      <c r="C624" t="str">
        <f t="shared" si="111"/>
        <v>gm. Biała</v>
      </c>
      <c r="D624" t="str">
        <f t="shared" si="112"/>
        <v>prudnicki</v>
      </c>
      <c r="E624" t="str">
        <f t="shared" si="102"/>
        <v>opolskie</v>
      </c>
      <c r="F624">
        <v>10</v>
      </c>
      <c r="G624" t="str">
        <f>"Sala Samorządu Mieszkańców, Olbrachcice 69 a, Olbrachcice"</f>
        <v>Sala Samorządu Mieszkańców, Olbrachcice 69 a, Olbrachcice</v>
      </c>
      <c r="H624">
        <v>382</v>
      </c>
      <c r="I624">
        <v>400</v>
      </c>
      <c r="J624">
        <v>134</v>
      </c>
      <c r="K624">
        <v>0</v>
      </c>
      <c r="L624">
        <v>266</v>
      </c>
      <c r="M624">
        <v>134</v>
      </c>
      <c r="N624">
        <v>129</v>
      </c>
      <c r="O624">
        <v>5</v>
      </c>
      <c r="P624">
        <v>26</v>
      </c>
      <c r="Q624">
        <v>103</v>
      </c>
    </row>
    <row r="625" spans="1:17" ht="14.25">
      <c r="A625">
        <v>621</v>
      </c>
      <c r="B625" t="str">
        <f t="shared" si="110"/>
        <v>161001</v>
      </c>
      <c r="C625" t="str">
        <f t="shared" si="111"/>
        <v>gm. Biała</v>
      </c>
      <c r="D625" t="str">
        <f t="shared" si="112"/>
        <v>prudnicki</v>
      </c>
      <c r="E625" t="str">
        <f t="shared" si="102"/>
        <v>opolskie</v>
      </c>
      <c r="F625">
        <v>11</v>
      </c>
      <c r="G625" t="str">
        <f>"Szkoła Podstawowa, Gostomia 46 a, Gostomia"</f>
        <v>Szkoła Podstawowa, Gostomia 46 a, Gostomia</v>
      </c>
      <c r="H625">
        <v>355</v>
      </c>
      <c r="I625">
        <v>355</v>
      </c>
      <c r="J625">
        <v>145</v>
      </c>
      <c r="K625">
        <v>0</v>
      </c>
      <c r="L625">
        <v>210</v>
      </c>
      <c r="M625">
        <v>145</v>
      </c>
      <c r="N625">
        <v>144</v>
      </c>
      <c r="O625">
        <v>1</v>
      </c>
      <c r="P625">
        <v>17</v>
      </c>
      <c r="Q625">
        <v>127</v>
      </c>
    </row>
    <row r="626" spans="1:17" ht="14.25">
      <c r="A626">
        <v>622</v>
      </c>
      <c r="B626" t="str">
        <f t="shared" si="110"/>
        <v>161001</v>
      </c>
      <c r="C626" t="str">
        <f t="shared" si="111"/>
        <v>gm. Biała</v>
      </c>
      <c r="D626" t="str">
        <f t="shared" si="112"/>
        <v>prudnicki</v>
      </c>
      <c r="E626" t="str">
        <f t="shared" si="102"/>
        <v>opolskie</v>
      </c>
      <c r="F626">
        <v>12</v>
      </c>
      <c r="G626" t="str">
        <f>"Rolnicza Spółdzielnia Produkcyjna, Rostkowice 38, Rostkowice"</f>
        <v>Rolnicza Spółdzielnia Produkcyjna, Rostkowice 38, Rostkowice</v>
      </c>
      <c r="H626">
        <v>320</v>
      </c>
      <c r="I626">
        <v>319</v>
      </c>
      <c r="J626">
        <v>107</v>
      </c>
      <c r="K626">
        <v>0</v>
      </c>
      <c r="L626">
        <v>212</v>
      </c>
      <c r="M626">
        <v>107</v>
      </c>
      <c r="N626">
        <v>107</v>
      </c>
      <c r="O626">
        <v>0</v>
      </c>
      <c r="P626">
        <v>23</v>
      </c>
      <c r="Q626">
        <v>84</v>
      </c>
    </row>
    <row r="627" spans="1:17" ht="14.25">
      <c r="A627">
        <v>623</v>
      </c>
      <c r="B627" t="str">
        <f t="shared" si="110"/>
        <v>161001</v>
      </c>
      <c r="C627" t="str">
        <f t="shared" si="111"/>
        <v>gm. Biała</v>
      </c>
      <c r="D627" t="str">
        <f t="shared" si="112"/>
        <v>prudnicki</v>
      </c>
      <c r="E627" t="str">
        <f t="shared" si="102"/>
        <v>opolskie</v>
      </c>
      <c r="F627">
        <v>13</v>
      </c>
      <c r="G627" t="str">
        <f>"Remiza OSP, Nowa Wieś Prudnicka 51 b, Nowa Wieś Prudnicka"</f>
        <v>Remiza OSP, Nowa Wieś Prudnicka 51 b, Nowa Wieś Prudnicka</v>
      </c>
      <c r="H627">
        <v>549</v>
      </c>
      <c r="I627">
        <v>578</v>
      </c>
      <c r="J627">
        <v>169</v>
      </c>
      <c r="K627">
        <v>0</v>
      </c>
      <c r="L627">
        <v>409</v>
      </c>
      <c r="M627">
        <v>169</v>
      </c>
      <c r="N627">
        <v>166</v>
      </c>
      <c r="O627">
        <v>3</v>
      </c>
      <c r="P627">
        <v>33</v>
      </c>
      <c r="Q627">
        <v>133</v>
      </c>
    </row>
    <row r="628" spans="1:17" ht="14.25">
      <c r="A628">
        <v>624</v>
      </c>
      <c r="B628" t="str">
        <f t="shared" si="110"/>
        <v>161001</v>
      </c>
      <c r="C628" t="str">
        <f t="shared" si="111"/>
        <v>gm. Biała</v>
      </c>
      <c r="D628" t="str">
        <f t="shared" si="112"/>
        <v>prudnicki</v>
      </c>
      <c r="E628" t="str">
        <f t="shared" si="102"/>
        <v>opolskie</v>
      </c>
      <c r="F628">
        <v>14</v>
      </c>
      <c r="G628" t="str">
        <f>"Sala Samorządu Mieszkańców, Solec 36, Solec"</f>
        <v>Sala Samorządu Mieszkańców, Solec 36, Solec</v>
      </c>
      <c r="H628">
        <v>272</v>
      </c>
      <c r="I628">
        <v>270</v>
      </c>
      <c r="J628">
        <v>113</v>
      </c>
      <c r="K628">
        <v>0</v>
      </c>
      <c r="L628">
        <v>157</v>
      </c>
      <c r="M628">
        <v>113</v>
      </c>
      <c r="N628">
        <v>112</v>
      </c>
      <c r="O628">
        <v>1</v>
      </c>
      <c r="P628">
        <v>31</v>
      </c>
      <c r="Q628">
        <v>81</v>
      </c>
    </row>
    <row r="629" spans="1:17" ht="14.25">
      <c r="A629">
        <v>625</v>
      </c>
      <c r="B629" t="str">
        <f t="shared" si="110"/>
        <v>161001</v>
      </c>
      <c r="C629" t="str">
        <f t="shared" si="111"/>
        <v>gm. Biała</v>
      </c>
      <c r="D629" t="str">
        <f t="shared" si="112"/>
        <v>prudnicki</v>
      </c>
      <c r="E629" t="str">
        <f t="shared" si="102"/>
        <v>opolskie</v>
      </c>
      <c r="F629">
        <v>15</v>
      </c>
      <c r="G629" t="str">
        <f>"Sala Samorządu Mieszkańców, Prężyna 70 a, Prężyna"</f>
        <v>Sala Samorządu Mieszkańców, Prężyna 70 a, Prężyna</v>
      </c>
      <c r="H629">
        <v>251</v>
      </c>
      <c r="I629">
        <v>240</v>
      </c>
      <c r="J629">
        <v>76</v>
      </c>
      <c r="K629">
        <v>0</v>
      </c>
      <c r="L629">
        <v>164</v>
      </c>
      <c r="M629">
        <v>76</v>
      </c>
      <c r="N629">
        <v>76</v>
      </c>
      <c r="O629">
        <v>0</v>
      </c>
      <c r="P629">
        <v>21</v>
      </c>
      <c r="Q629">
        <v>55</v>
      </c>
    </row>
    <row r="630" spans="1:17" ht="14.25">
      <c r="A630">
        <v>626</v>
      </c>
      <c r="B630" t="str">
        <f t="shared" si="110"/>
        <v>161001</v>
      </c>
      <c r="C630" t="str">
        <f t="shared" si="111"/>
        <v>gm. Biała</v>
      </c>
      <c r="D630" t="str">
        <f t="shared" si="112"/>
        <v>prudnicki</v>
      </c>
      <c r="E630" t="str">
        <f t="shared" si="102"/>
        <v>opolskie</v>
      </c>
      <c r="F630">
        <v>16</v>
      </c>
      <c r="G630" t="str">
        <f>"Sala Samorządu Mieszkańców, Kolnowice 76, Kolnowice"</f>
        <v>Sala Samorządu Mieszkańców, Kolnowice 76, Kolnowice</v>
      </c>
      <c r="H630">
        <v>396</v>
      </c>
      <c r="I630">
        <v>411</v>
      </c>
      <c r="J630">
        <v>195</v>
      </c>
      <c r="K630">
        <v>0</v>
      </c>
      <c r="L630">
        <v>216</v>
      </c>
      <c r="M630">
        <v>195</v>
      </c>
      <c r="N630">
        <v>195</v>
      </c>
      <c r="O630">
        <v>0</v>
      </c>
      <c r="P630">
        <v>97</v>
      </c>
      <c r="Q630">
        <v>98</v>
      </c>
    </row>
    <row r="631" spans="1:17" ht="14.25">
      <c r="A631">
        <v>627</v>
      </c>
      <c r="B631" t="str">
        <f t="shared" si="110"/>
        <v>161001</v>
      </c>
      <c r="C631" t="str">
        <f t="shared" si="111"/>
        <v>gm. Biała</v>
      </c>
      <c r="D631" t="str">
        <f t="shared" si="112"/>
        <v>prudnicki</v>
      </c>
      <c r="E631" t="str">
        <f t="shared" si="102"/>
        <v>opolskie</v>
      </c>
      <c r="F631">
        <v>17</v>
      </c>
      <c r="G631" t="str">
        <f>"Dom Pomocy Społecznej, Grabina 72, Grabina"</f>
        <v>Dom Pomocy Społecznej, Grabina 72, Grabina</v>
      </c>
      <c r="H631">
        <v>44</v>
      </c>
      <c r="I631">
        <v>43</v>
      </c>
      <c r="J631">
        <v>25</v>
      </c>
      <c r="K631">
        <v>0</v>
      </c>
      <c r="L631">
        <v>18</v>
      </c>
      <c r="M631">
        <v>25</v>
      </c>
      <c r="N631">
        <v>25</v>
      </c>
      <c r="O631">
        <v>0</v>
      </c>
      <c r="P631">
        <v>16</v>
      </c>
      <c r="Q631">
        <v>9</v>
      </c>
    </row>
    <row r="632" spans="1:17" ht="14.25">
      <c r="A632">
        <v>628</v>
      </c>
      <c r="B632" t="str">
        <f t="shared" si="110"/>
        <v>161001</v>
      </c>
      <c r="C632" t="str">
        <f t="shared" si="111"/>
        <v>gm. Biała</v>
      </c>
      <c r="D632" t="str">
        <f t="shared" si="112"/>
        <v>prudnicki</v>
      </c>
      <c r="E632" t="str">
        <f t="shared" si="102"/>
        <v>opolskie</v>
      </c>
      <c r="F632">
        <v>18</v>
      </c>
      <c r="G632" t="str">
        <f>"Szpital, ul. Moniuszki 8, Biała"</f>
        <v>Szpital, ul. Moniuszki 8, Biała</v>
      </c>
      <c r="H632">
        <v>47</v>
      </c>
      <c r="I632">
        <v>43</v>
      </c>
      <c r="J632">
        <v>22</v>
      </c>
      <c r="K632">
        <v>0</v>
      </c>
      <c r="L632">
        <v>21</v>
      </c>
      <c r="M632">
        <v>22</v>
      </c>
      <c r="N632">
        <v>22</v>
      </c>
      <c r="O632">
        <v>0</v>
      </c>
      <c r="P632">
        <v>9</v>
      </c>
      <c r="Q632">
        <v>13</v>
      </c>
    </row>
    <row r="633" spans="1:17" ht="14.25">
      <c r="A633">
        <v>629</v>
      </c>
      <c r="B633" t="str">
        <f aca="true" t="shared" si="113" ref="B633:B648">"161002"</f>
        <v>161002</v>
      </c>
      <c r="C633" t="str">
        <f aca="true" t="shared" si="114" ref="C633:C648">"gm. Głogówek"</f>
        <v>gm. Głogówek</v>
      </c>
      <c r="D633" t="str">
        <f t="shared" si="112"/>
        <v>prudnicki</v>
      </c>
      <c r="E633" t="str">
        <f t="shared" si="102"/>
        <v>opolskie</v>
      </c>
      <c r="F633">
        <v>1</v>
      </c>
      <c r="G633" t="str">
        <f>"Szkoła Podstawowa Nr 2, ul. Sobieskiego 6, Głogówek"</f>
        <v>Szkoła Podstawowa Nr 2, ul. Sobieskiego 6, Głogówek</v>
      </c>
      <c r="H633">
        <v>1110</v>
      </c>
      <c r="I633">
        <v>1040</v>
      </c>
      <c r="J633">
        <v>420</v>
      </c>
      <c r="K633">
        <v>0</v>
      </c>
      <c r="L633">
        <v>620</v>
      </c>
      <c r="M633">
        <v>420</v>
      </c>
      <c r="N633">
        <v>415</v>
      </c>
      <c r="O633">
        <v>5</v>
      </c>
      <c r="P633">
        <v>121</v>
      </c>
      <c r="Q633">
        <v>294</v>
      </c>
    </row>
    <row r="634" spans="1:17" ht="14.25">
      <c r="A634">
        <v>630</v>
      </c>
      <c r="B634" t="str">
        <f t="shared" si="113"/>
        <v>161002</v>
      </c>
      <c r="C634" t="str">
        <f t="shared" si="114"/>
        <v>gm. Głogówek</v>
      </c>
      <c r="D634" t="str">
        <f t="shared" si="112"/>
        <v>prudnicki</v>
      </c>
      <c r="E634" t="str">
        <f t="shared" si="102"/>
        <v>opolskie</v>
      </c>
      <c r="F634">
        <v>2</v>
      </c>
      <c r="G634" t="str">
        <f>"Dom Kultury, ul. Batorego 10, Głogówek"</f>
        <v>Dom Kultury, ul. Batorego 10, Głogówek</v>
      </c>
      <c r="H634">
        <v>1319</v>
      </c>
      <c r="I634">
        <v>1280</v>
      </c>
      <c r="J634">
        <v>624</v>
      </c>
      <c r="K634">
        <v>0</v>
      </c>
      <c r="L634">
        <v>656</v>
      </c>
      <c r="M634">
        <v>621</v>
      </c>
      <c r="N634">
        <v>613</v>
      </c>
      <c r="O634">
        <v>8</v>
      </c>
      <c r="P634">
        <v>206</v>
      </c>
      <c r="Q634">
        <v>407</v>
      </c>
    </row>
    <row r="635" spans="1:17" ht="14.25">
      <c r="A635">
        <v>631</v>
      </c>
      <c r="B635" t="str">
        <f t="shared" si="113"/>
        <v>161002</v>
      </c>
      <c r="C635" t="str">
        <f t="shared" si="114"/>
        <v>gm. Głogówek</v>
      </c>
      <c r="D635" t="str">
        <f t="shared" si="112"/>
        <v>prudnicki</v>
      </c>
      <c r="E635" t="str">
        <f t="shared" si="102"/>
        <v>opolskie</v>
      </c>
      <c r="F635">
        <v>3</v>
      </c>
      <c r="G635" t="str">
        <f>"Zespół Szkół, ul. Powstańców 34, Głogówek"</f>
        <v>Zespół Szkół, ul. Powstańców 34, Głogówek</v>
      </c>
      <c r="H635">
        <v>905</v>
      </c>
      <c r="I635">
        <v>880</v>
      </c>
      <c r="J635">
        <v>385</v>
      </c>
      <c r="K635">
        <v>1</v>
      </c>
      <c r="L635">
        <v>495</v>
      </c>
      <c r="M635">
        <v>385</v>
      </c>
      <c r="N635">
        <v>381</v>
      </c>
      <c r="O635">
        <v>4</v>
      </c>
      <c r="P635">
        <v>120</v>
      </c>
      <c r="Q635">
        <v>261</v>
      </c>
    </row>
    <row r="636" spans="1:17" ht="14.25">
      <c r="A636">
        <v>632</v>
      </c>
      <c r="B636" t="str">
        <f t="shared" si="113"/>
        <v>161002</v>
      </c>
      <c r="C636" t="str">
        <f t="shared" si="114"/>
        <v>gm. Głogówek</v>
      </c>
      <c r="D636" t="str">
        <f t="shared" si="112"/>
        <v>prudnicki</v>
      </c>
      <c r="E636" t="str">
        <f t="shared" si="102"/>
        <v>opolskie</v>
      </c>
      <c r="F636">
        <v>4</v>
      </c>
      <c r="G636" t="str">
        <f>"Straż Pożarna, ul. Dworcowa 9, Głogówek"</f>
        <v>Straż Pożarna, ul. Dworcowa 9, Głogówek</v>
      </c>
      <c r="H636">
        <v>1262</v>
      </c>
      <c r="I636">
        <v>1200</v>
      </c>
      <c r="J636">
        <v>484</v>
      </c>
      <c r="K636">
        <v>0</v>
      </c>
      <c r="L636">
        <v>716</v>
      </c>
      <c r="M636">
        <v>484</v>
      </c>
      <c r="N636">
        <v>481</v>
      </c>
      <c r="O636">
        <v>3</v>
      </c>
      <c r="P636">
        <v>136</v>
      </c>
      <c r="Q636">
        <v>345</v>
      </c>
    </row>
    <row r="637" spans="1:17" ht="14.25">
      <c r="A637">
        <v>633</v>
      </c>
      <c r="B637" t="str">
        <f t="shared" si="113"/>
        <v>161002</v>
      </c>
      <c r="C637" t="str">
        <f t="shared" si="114"/>
        <v>gm. Głogówek</v>
      </c>
      <c r="D637" t="str">
        <f t="shared" si="112"/>
        <v>prudnicki</v>
      </c>
      <c r="E637" t="str">
        <f t="shared" si="102"/>
        <v>opolskie</v>
      </c>
      <c r="F637">
        <v>5</v>
      </c>
      <c r="G637" t="str">
        <f>"Szkoła Podstawowa, ul. Zwycięstwa 21, Racławice Śląskie"</f>
        <v>Szkoła Podstawowa, ul. Zwycięstwa 21, Racławice Śląskie</v>
      </c>
      <c r="H637">
        <v>1181</v>
      </c>
      <c r="I637">
        <v>1120</v>
      </c>
      <c r="J637">
        <v>589</v>
      </c>
      <c r="K637">
        <v>1</v>
      </c>
      <c r="L637">
        <v>531</v>
      </c>
      <c r="M637">
        <v>589</v>
      </c>
      <c r="N637">
        <v>586</v>
      </c>
      <c r="O637">
        <v>3</v>
      </c>
      <c r="P637">
        <v>270</v>
      </c>
      <c r="Q637">
        <v>316</v>
      </c>
    </row>
    <row r="638" spans="1:17" ht="14.25">
      <c r="A638">
        <v>634</v>
      </c>
      <c r="B638" t="str">
        <f t="shared" si="113"/>
        <v>161002</v>
      </c>
      <c r="C638" t="str">
        <f t="shared" si="114"/>
        <v>gm. Głogówek</v>
      </c>
      <c r="D638" t="str">
        <f t="shared" si="112"/>
        <v>prudnicki</v>
      </c>
      <c r="E638" t="str">
        <f t="shared" si="102"/>
        <v>opolskie</v>
      </c>
      <c r="F638">
        <v>6</v>
      </c>
      <c r="G638" t="str">
        <f>"Straż Pożarna, Dzierżysławice 21, Dzierżysławice"</f>
        <v>Straż Pożarna, Dzierżysławice 21, Dzierżysławice</v>
      </c>
      <c r="H638">
        <v>310</v>
      </c>
      <c r="I638">
        <v>319</v>
      </c>
      <c r="J638">
        <v>76</v>
      </c>
      <c r="K638">
        <v>0</v>
      </c>
      <c r="L638">
        <v>243</v>
      </c>
      <c r="M638">
        <v>76</v>
      </c>
      <c r="N638">
        <v>76</v>
      </c>
      <c r="O638">
        <v>0</v>
      </c>
      <c r="P638">
        <v>46</v>
      </c>
      <c r="Q638">
        <v>30</v>
      </c>
    </row>
    <row r="639" spans="1:17" ht="14.25">
      <c r="A639">
        <v>635</v>
      </c>
      <c r="B639" t="str">
        <f t="shared" si="113"/>
        <v>161002</v>
      </c>
      <c r="C639" t="str">
        <f t="shared" si="114"/>
        <v>gm. Głogówek</v>
      </c>
      <c r="D639" t="str">
        <f t="shared" si="112"/>
        <v>prudnicki</v>
      </c>
      <c r="E639" t="str">
        <f t="shared" si="102"/>
        <v>opolskie</v>
      </c>
      <c r="F639">
        <v>7</v>
      </c>
      <c r="G639" t="str">
        <f>"Świetlica Parafialna, Mochów 84, Mochów"</f>
        <v>Świetlica Parafialna, Mochów 84, Mochów</v>
      </c>
      <c r="H639">
        <v>539</v>
      </c>
      <c r="I639">
        <v>560</v>
      </c>
      <c r="J639">
        <v>178</v>
      </c>
      <c r="K639">
        <v>0</v>
      </c>
      <c r="L639">
        <v>382</v>
      </c>
      <c r="M639">
        <v>178</v>
      </c>
      <c r="N639">
        <v>177</v>
      </c>
      <c r="O639">
        <v>1</v>
      </c>
      <c r="P639">
        <v>37</v>
      </c>
      <c r="Q639">
        <v>140</v>
      </c>
    </row>
    <row r="640" spans="1:17" ht="14.25">
      <c r="A640">
        <v>636</v>
      </c>
      <c r="B640" t="str">
        <f t="shared" si="113"/>
        <v>161002</v>
      </c>
      <c r="C640" t="str">
        <f t="shared" si="114"/>
        <v>gm. Głogówek</v>
      </c>
      <c r="D640" t="str">
        <f t="shared" si="112"/>
        <v>prudnicki</v>
      </c>
      <c r="E640" t="str">
        <f t="shared" si="102"/>
        <v>opolskie</v>
      </c>
      <c r="F640">
        <v>8</v>
      </c>
      <c r="G640" t="str">
        <f>"Świetlica Wiejska, Wierzch 2, Wierzch"</f>
        <v>Świetlica Wiejska, Wierzch 2, Wierzch</v>
      </c>
      <c r="H640">
        <v>521</v>
      </c>
      <c r="I640">
        <v>582</v>
      </c>
      <c r="J640">
        <v>136</v>
      </c>
      <c r="K640">
        <v>0</v>
      </c>
      <c r="L640">
        <v>446</v>
      </c>
      <c r="M640">
        <v>136</v>
      </c>
      <c r="N640">
        <v>136</v>
      </c>
      <c r="O640">
        <v>0</v>
      </c>
      <c r="P640">
        <v>32</v>
      </c>
      <c r="Q640">
        <v>104</v>
      </c>
    </row>
    <row r="641" spans="1:17" ht="14.25">
      <c r="A641">
        <v>637</v>
      </c>
      <c r="B641" t="str">
        <f t="shared" si="113"/>
        <v>161002</v>
      </c>
      <c r="C641" t="str">
        <f t="shared" si="114"/>
        <v>gm. Głogówek</v>
      </c>
      <c r="D641" t="str">
        <f t="shared" si="112"/>
        <v>prudnicki</v>
      </c>
      <c r="E641" t="str">
        <f t="shared" si="102"/>
        <v>opolskie</v>
      </c>
      <c r="F641">
        <v>9</v>
      </c>
      <c r="G641" t="str">
        <f>"Przedszkole, Zawada 15, Zawada"</f>
        <v>Przedszkole, Zawada 15, Zawada</v>
      </c>
      <c r="H641">
        <v>348</v>
      </c>
      <c r="I641">
        <v>400</v>
      </c>
      <c r="J641">
        <v>97</v>
      </c>
      <c r="K641">
        <v>0</v>
      </c>
      <c r="L641">
        <v>303</v>
      </c>
      <c r="M641">
        <v>97</v>
      </c>
      <c r="N641">
        <v>97</v>
      </c>
      <c r="O641">
        <v>0</v>
      </c>
      <c r="P641">
        <v>15</v>
      </c>
      <c r="Q641">
        <v>82</v>
      </c>
    </row>
    <row r="642" spans="1:17" ht="14.25">
      <c r="A642">
        <v>638</v>
      </c>
      <c r="B642" t="str">
        <f t="shared" si="113"/>
        <v>161002</v>
      </c>
      <c r="C642" t="str">
        <f t="shared" si="114"/>
        <v>gm. Głogówek</v>
      </c>
      <c r="D642" t="str">
        <f t="shared" si="112"/>
        <v>prudnicki</v>
      </c>
      <c r="E642" t="str">
        <f t="shared" si="102"/>
        <v>opolskie</v>
      </c>
      <c r="F642">
        <v>10</v>
      </c>
      <c r="G642" t="str">
        <f>"Świetlica Wiejska, Rzepcze 19, Rzepcze"</f>
        <v>Świetlica Wiejska, Rzepcze 19, Rzepcze</v>
      </c>
      <c r="H642">
        <v>512</v>
      </c>
      <c r="I642">
        <v>560</v>
      </c>
      <c r="J642">
        <v>150</v>
      </c>
      <c r="K642">
        <v>0</v>
      </c>
      <c r="L642">
        <v>410</v>
      </c>
      <c r="M642">
        <v>150</v>
      </c>
      <c r="N642">
        <v>150</v>
      </c>
      <c r="O642">
        <v>0</v>
      </c>
      <c r="P642">
        <v>32</v>
      </c>
      <c r="Q642">
        <v>118</v>
      </c>
    </row>
    <row r="643" spans="1:17" ht="14.25">
      <c r="A643">
        <v>639</v>
      </c>
      <c r="B643" t="str">
        <f t="shared" si="113"/>
        <v>161002</v>
      </c>
      <c r="C643" t="str">
        <f t="shared" si="114"/>
        <v>gm. Głogówek</v>
      </c>
      <c r="D643" t="str">
        <f t="shared" si="112"/>
        <v>prudnicki</v>
      </c>
      <c r="E643" t="str">
        <f t="shared" si="102"/>
        <v>opolskie</v>
      </c>
      <c r="F643">
        <v>11</v>
      </c>
      <c r="G643" t="str">
        <f>"Przedszkole, Szonów 33, Szonów"</f>
        <v>Przedszkole, Szonów 33, Szonów</v>
      </c>
      <c r="H643">
        <v>535</v>
      </c>
      <c r="I643">
        <v>560</v>
      </c>
      <c r="J643">
        <v>271</v>
      </c>
      <c r="K643">
        <v>0</v>
      </c>
      <c r="L643">
        <v>289</v>
      </c>
      <c r="M643">
        <v>271</v>
      </c>
      <c r="N643">
        <v>270</v>
      </c>
      <c r="O643">
        <v>1</v>
      </c>
      <c r="P643">
        <v>142</v>
      </c>
      <c r="Q643">
        <v>128</v>
      </c>
    </row>
    <row r="644" spans="1:17" ht="14.25">
      <c r="A644">
        <v>640</v>
      </c>
      <c r="B644" t="str">
        <f t="shared" si="113"/>
        <v>161002</v>
      </c>
      <c r="C644" t="str">
        <f t="shared" si="114"/>
        <v>gm. Głogówek</v>
      </c>
      <c r="D644" t="str">
        <f t="shared" si="112"/>
        <v>prudnicki</v>
      </c>
      <c r="E644" t="str">
        <f t="shared" si="102"/>
        <v>opolskie</v>
      </c>
      <c r="F644">
        <v>12</v>
      </c>
      <c r="G644" t="str">
        <f>"Świetlica Środowiskowa, Kazimierz 99, Kazimierz"</f>
        <v>Świetlica Środowiskowa, Kazimierz 99, Kazimierz</v>
      </c>
      <c r="H644">
        <v>393</v>
      </c>
      <c r="I644">
        <v>400</v>
      </c>
      <c r="J644">
        <v>174</v>
      </c>
      <c r="K644">
        <v>0</v>
      </c>
      <c r="L644">
        <v>226</v>
      </c>
      <c r="M644">
        <v>174</v>
      </c>
      <c r="N644">
        <v>173</v>
      </c>
      <c r="O644">
        <v>1</v>
      </c>
      <c r="P644">
        <v>123</v>
      </c>
      <c r="Q644">
        <v>50</v>
      </c>
    </row>
    <row r="645" spans="1:17" ht="14.25">
      <c r="A645">
        <v>641</v>
      </c>
      <c r="B645" t="str">
        <f t="shared" si="113"/>
        <v>161002</v>
      </c>
      <c r="C645" t="str">
        <f t="shared" si="114"/>
        <v>gm. Głogówek</v>
      </c>
      <c r="D645" t="str">
        <f t="shared" si="112"/>
        <v>prudnicki</v>
      </c>
      <c r="E645" t="str">
        <f aca="true" t="shared" si="115" ref="E645:E708">"opolskie"</f>
        <v>opolskie</v>
      </c>
      <c r="F645">
        <v>13</v>
      </c>
      <c r="G645" t="str">
        <f>"Szkoła Podstawowa, Biedrzychowice 110, Biedrzychowice"</f>
        <v>Szkoła Podstawowa, Biedrzychowice 110, Biedrzychowice</v>
      </c>
      <c r="H645">
        <v>638</v>
      </c>
      <c r="I645">
        <v>640</v>
      </c>
      <c r="J645">
        <v>193</v>
      </c>
      <c r="K645">
        <v>0</v>
      </c>
      <c r="L645">
        <v>447</v>
      </c>
      <c r="M645">
        <v>193</v>
      </c>
      <c r="N645">
        <v>192</v>
      </c>
      <c r="O645">
        <v>1</v>
      </c>
      <c r="P645">
        <v>25</v>
      </c>
      <c r="Q645">
        <v>167</v>
      </c>
    </row>
    <row r="646" spans="1:17" ht="14.25">
      <c r="A646">
        <v>642</v>
      </c>
      <c r="B646" t="str">
        <f t="shared" si="113"/>
        <v>161002</v>
      </c>
      <c r="C646" t="str">
        <f t="shared" si="114"/>
        <v>gm. Głogówek</v>
      </c>
      <c r="D646" t="str">
        <f t="shared" si="112"/>
        <v>prudnicki</v>
      </c>
      <c r="E646" t="str">
        <f t="shared" si="115"/>
        <v>opolskie</v>
      </c>
      <c r="F646">
        <v>14</v>
      </c>
      <c r="G646" t="str">
        <f>"Przedszkole, ul. Sudecka 27, Stare Kotkowice"</f>
        <v>Przedszkole, ul. Sudecka 27, Stare Kotkowice</v>
      </c>
      <c r="H646">
        <v>340</v>
      </c>
      <c r="I646">
        <v>319</v>
      </c>
      <c r="J646">
        <v>140</v>
      </c>
      <c r="K646">
        <v>0</v>
      </c>
      <c r="L646">
        <v>179</v>
      </c>
      <c r="M646">
        <v>140</v>
      </c>
      <c r="N646">
        <v>137</v>
      </c>
      <c r="O646">
        <v>3</v>
      </c>
      <c r="P646">
        <v>17</v>
      </c>
      <c r="Q646">
        <v>120</v>
      </c>
    </row>
    <row r="647" spans="1:17" ht="14.25">
      <c r="A647">
        <v>643</v>
      </c>
      <c r="B647" t="str">
        <f t="shared" si="113"/>
        <v>161002</v>
      </c>
      <c r="C647" t="str">
        <f t="shared" si="114"/>
        <v>gm. Głogówek</v>
      </c>
      <c r="D647" t="str">
        <f aca="true" t="shared" si="116" ref="D647:D678">"prudnicki"</f>
        <v>prudnicki</v>
      </c>
      <c r="E647" t="str">
        <f t="shared" si="115"/>
        <v>opolskie</v>
      </c>
      <c r="F647">
        <v>15</v>
      </c>
      <c r="G647" t="str">
        <f>"Świetlica Wiejska, Wróblin 47a, Wróblin"</f>
        <v>Świetlica Wiejska, Wróblin 47a, Wróblin</v>
      </c>
      <c r="H647">
        <v>334</v>
      </c>
      <c r="I647">
        <v>400</v>
      </c>
      <c r="J647">
        <v>139</v>
      </c>
      <c r="K647">
        <v>0</v>
      </c>
      <c r="L647">
        <v>261</v>
      </c>
      <c r="M647">
        <v>139</v>
      </c>
      <c r="N647">
        <v>137</v>
      </c>
      <c r="O647">
        <v>2</v>
      </c>
      <c r="P647">
        <v>29</v>
      </c>
      <c r="Q647">
        <v>108</v>
      </c>
    </row>
    <row r="648" spans="1:17" ht="14.25">
      <c r="A648">
        <v>644</v>
      </c>
      <c r="B648" t="str">
        <f t="shared" si="113"/>
        <v>161002</v>
      </c>
      <c r="C648" t="str">
        <f t="shared" si="114"/>
        <v>gm. Głogówek</v>
      </c>
      <c r="D648" t="str">
        <f t="shared" si="116"/>
        <v>prudnicki</v>
      </c>
      <c r="E648" t="str">
        <f t="shared" si="115"/>
        <v>opolskie</v>
      </c>
      <c r="F648">
        <v>16</v>
      </c>
      <c r="G648" t="str">
        <f>"RSP Twardawa, ul. Spółdzielcza 16, Twardawa"</f>
        <v>RSP Twardawa, ul. Spółdzielcza 16, Twardawa</v>
      </c>
      <c r="H648">
        <v>903</v>
      </c>
      <c r="I648">
        <v>880</v>
      </c>
      <c r="J648">
        <v>345</v>
      </c>
      <c r="K648">
        <v>0</v>
      </c>
      <c r="L648">
        <v>535</v>
      </c>
      <c r="M648">
        <v>345</v>
      </c>
      <c r="N648">
        <v>340</v>
      </c>
      <c r="O648">
        <v>5</v>
      </c>
      <c r="P648">
        <v>85</v>
      </c>
      <c r="Q648">
        <v>255</v>
      </c>
    </row>
    <row r="649" spans="1:17" ht="14.25">
      <c r="A649">
        <v>645</v>
      </c>
      <c r="B649" t="str">
        <f aca="true" t="shared" si="117" ref="B649:B655">"161003"</f>
        <v>161003</v>
      </c>
      <c r="C649" t="str">
        <f aca="true" t="shared" si="118" ref="C649:C655">"gm. Lubrza"</f>
        <v>gm. Lubrza</v>
      </c>
      <c r="D649" t="str">
        <f t="shared" si="116"/>
        <v>prudnicki</v>
      </c>
      <c r="E649" t="str">
        <f t="shared" si="115"/>
        <v>opolskie</v>
      </c>
      <c r="F649">
        <v>1</v>
      </c>
      <c r="G649" t="str">
        <f>"Szkoła Podstawowa w Dytmarowie, Dytmarów nr 1, Dytmarów"</f>
        <v>Szkoła Podstawowa w Dytmarowie, Dytmarów nr 1, Dytmarów</v>
      </c>
      <c r="H649">
        <v>917</v>
      </c>
      <c r="I649">
        <v>879</v>
      </c>
      <c r="J649">
        <v>466</v>
      </c>
      <c r="K649">
        <v>1</v>
      </c>
      <c r="L649">
        <v>413</v>
      </c>
      <c r="M649">
        <v>466</v>
      </c>
      <c r="N649">
        <v>462</v>
      </c>
      <c r="O649">
        <v>4</v>
      </c>
      <c r="P649">
        <v>203</v>
      </c>
      <c r="Q649">
        <v>259</v>
      </c>
    </row>
    <row r="650" spans="1:17" ht="14.25">
      <c r="A650">
        <v>646</v>
      </c>
      <c r="B650" t="str">
        <f t="shared" si="117"/>
        <v>161003</v>
      </c>
      <c r="C650" t="str">
        <f t="shared" si="118"/>
        <v>gm. Lubrza</v>
      </c>
      <c r="D650" t="str">
        <f t="shared" si="116"/>
        <v>prudnicki</v>
      </c>
      <c r="E650" t="str">
        <f t="shared" si="115"/>
        <v>opolskie</v>
      </c>
      <c r="F650">
        <v>2</v>
      </c>
      <c r="G650" t="str">
        <f>"Świetlica wiejska w Jasionie, Jasiona nr 15, Jasiona"</f>
        <v>Świetlica wiejska w Jasionie, Jasiona nr 15, Jasiona</v>
      </c>
      <c r="H650">
        <v>205</v>
      </c>
      <c r="I650">
        <v>197</v>
      </c>
      <c r="J650">
        <v>115</v>
      </c>
      <c r="K650">
        <v>0</v>
      </c>
      <c r="L650">
        <v>82</v>
      </c>
      <c r="M650">
        <v>115</v>
      </c>
      <c r="N650">
        <v>115</v>
      </c>
      <c r="O650">
        <v>0</v>
      </c>
      <c r="P650">
        <v>52</v>
      </c>
      <c r="Q650">
        <v>63</v>
      </c>
    </row>
    <row r="651" spans="1:17" ht="14.25">
      <c r="A651">
        <v>647</v>
      </c>
      <c r="B651" t="str">
        <f t="shared" si="117"/>
        <v>161003</v>
      </c>
      <c r="C651" t="str">
        <f t="shared" si="118"/>
        <v>gm. Lubrza</v>
      </c>
      <c r="D651" t="str">
        <f t="shared" si="116"/>
        <v>prudnicki</v>
      </c>
      <c r="E651" t="str">
        <f t="shared" si="115"/>
        <v>opolskie</v>
      </c>
      <c r="F651">
        <v>3</v>
      </c>
      <c r="G651" t="str">
        <f>"Urząd Gminy w Lubrzy- świetlica na parterze, ul. Wolności 73, Lubrza"</f>
        <v>Urząd Gminy w Lubrzy- świetlica na parterze, ul. Wolności 73, Lubrza</v>
      </c>
      <c r="H651">
        <v>777</v>
      </c>
      <c r="I651">
        <v>722</v>
      </c>
      <c r="J651">
        <v>437</v>
      </c>
      <c r="K651">
        <v>1</v>
      </c>
      <c r="L651">
        <v>285</v>
      </c>
      <c r="M651">
        <v>437</v>
      </c>
      <c r="N651">
        <v>436</v>
      </c>
      <c r="O651">
        <v>1</v>
      </c>
      <c r="P651">
        <v>166</v>
      </c>
      <c r="Q651">
        <v>270</v>
      </c>
    </row>
    <row r="652" spans="1:17" ht="14.25">
      <c r="A652">
        <v>648</v>
      </c>
      <c r="B652" t="str">
        <f t="shared" si="117"/>
        <v>161003</v>
      </c>
      <c r="C652" t="str">
        <f t="shared" si="118"/>
        <v>gm. Lubrza</v>
      </c>
      <c r="D652" t="str">
        <f t="shared" si="116"/>
        <v>prudnicki</v>
      </c>
      <c r="E652" t="str">
        <f t="shared" si="115"/>
        <v>opolskie</v>
      </c>
      <c r="F652">
        <v>4</v>
      </c>
      <c r="G652" t="str">
        <f>"Świetlica wiejska - budynek byłej Szkoły, Nowy Browiniec nr 86, Nowy Browiniec"</f>
        <v>Świetlica wiejska - budynek byłej Szkoły, Nowy Browiniec nr 86, Nowy Browiniec</v>
      </c>
      <c r="H652">
        <v>368</v>
      </c>
      <c r="I652">
        <v>400</v>
      </c>
      <c r="J652">
        <v>132</v>
      </c>
      <c r="K652">
        <v>0</v>
      </c>
      <c r="L652">
        <v>268</v>
      </c>
      <c r="M652">
        <v>132</v>
      </c>
      <c r="N652">
        <v>129</v>
      </c>
      <c r="O652">
        <v>3</v>
      </c>
      <c r="P652">
        <v>33</v>
      </c>
      <c r="Q652">
        <v>96</v>
      </c>
    </row>
    <row r="653" spans="1:17" ht="14.25">
      <c r="A653">
        <v>649</v>
      </c>
      <c r="B653" t="str">
        <f t="shared" si="117"/>
        <v>161003</v>
      </c>
      <c r="C653" t="str">
        <f t="shared" si="118"/>
        <v>gm. Lubrza</v>
      </c>
      <c r="D653" t="str">
        <f t="shared" si="116"/>
        <v>prudnicki</v>
      </c>
      <c r="E653" t="str">
        <f t="shared" si="115"/>
        <v>opolskie</v>
      </c>
      <c r="F653">
        <v>5</v>
      </c>
      <c r="G653" t="str">
        <f>"Wiejski Dom Kultury w Olszynce, Olszynka nr 36b, Olszynka"</f>
        <v>Wiejski Dom Kultury w Olszynce, Olszynka nr 36b, Olszynka</v>
      </c>
      <c r="H653">
        <v>387</v>
      </c>
      <c r="I653">
        <v>400</v>
      </c>
      <c r="J653">
        <v>207</v>
      </c>
      <c r="K653">
        <v>0</v>
      </c>
      <c r="L653">
        <v>193</v>
      </c>
      <c r="M653">
        <v>207</v>
      </c>
      <c r="N653">
        <v>205</v>
      </c>
      <c r="O653">
        <v>2</v>
      </c>
      <c r="P653">
        <v>115</v>
      </c>
      <c r="Q653">
        <v>90</v>
      </c>
    </row>
    <row r="654" spans="1:17" ht="14.25">
      <c r="A654">
        <v>650</v>
      </c>
      <c r="B654" t="str">
        <f t="shared" si="117"/>
        <v>161003</v>
      </c>
      <c r="C654" t="str">
        <f t="shared" si="118"/>
        <v>gm. Lubrza</v>
      </c>
      <c r="D654" t="str">
        <f t="shared" si="116"/>
        <v>prudnicki</v>
      </c>
      <c r="E654" t="str">
        <f t="shared" si="115"/>
        <v>opolskie</v>
      </c>
      <c r="F654">
        <v>6</v>
      </c>
      <c r="G654" t="str">
        <f>"Wiejski Dom Kultury w Prężynce, Prężynka nr 2, Prężynka"</f>
        <v>Wiejski Dom Kultury w Prężynce, Prężynka nr 2, Prężynka</v>
      </c>
      <c r="H654">
        <v>268</v>
      </c>
      <c r="I654">
        <v>319</v>
      </c>
      <c r="J654">
        <v>147</v>
      </c>
      <c r="K654">
        <v>0</v>
      </c>
      <c r="L654">
        <v>172</v>
      </c>
      <c r="M654">
        <v>147</v>
      </c>
      <c r="N654">
        <v>147</v>
      </c>
      <c r="O654">
        <v>0</v>
      </c>
      <c r="P654">
        <v>72</v>
      </c>
      <c r="Q654">
        <v>75</v>
      </c>
    </row>
    <row r="655" spans="1:17" ht="14.25">
      <c r="A655">
        <v>651</v>
      </c>
      <c r="B655" t="str">
        <f t="shared" si="117"/>
        <v>161003</v>
      </c>
      <c r="C655" t="str">
        <f t="shared" si="118"/>
        <v>gm. Lubrza</v>
      </c>
      <c r="D655" t="str">
        <f t="shared" si="116"/>
        <v>prudnicki</v>
      </c>
      <c r="E655" t="str">
        <f t="shared" si="115"/>
        <v>opolskie</v>
      </c>
      <c r="F655">
        <v>7</v>
      </c>
      <c r="G655" t="str">
        <f>"Wiejski Dom Kultury w Trzebinie, Trzebina nr 132a, Trzebina"</f>
        <v>Wiejski Dom Kultury w Trzebinie, Trzebina nr 132a, Trzebina</v>
      </c>
      <c r="H655">
        <v>635</v>
      </c>
      <c r="I655">
        <v>640</v>
      </c>
      <c r="J655">
        <v>322</v>
      </c>
      <c r="K655">
        <v>0</v>
      </c>
      <c r="L655">
        <v>318</v>
      </c>
      <c r="M655">
        <v>322</v>
      </c>
      <c r="N655">
        <v>313</v>
      </c>
      <c r="O655">
        <v>9</v>
      </c>
      <c r="P655">
        <v>166</v>
      </c>
      <c r="Q655">
        <v>147</v>
      </c>
    </row>
    <row r="656" spans="1:17" ht="14.25">
      <c r="A656">
        <v>652</v>
      </c>
      <c r="B656" t="str">
        <f aca="true" t="shared" si="119" ref="B656:B678">"161004"</f>
        <v>161004</v>
      </c>
      <c r="C656" t="str">
        <f aca="true" t="shared" si="120" ref="C656:C678">"gm. Prudnik"</f>
        <v>gm. Prudnik</v>
      </c>
      <c r="D656" t="str">
        <f t="shared" si="116"/>
        <v>prudnicki</v>
      </c>
      <c r="E656" t="str">
        <f t="shared" si="115"/>
        <v>opolskie</v>
      </c>
      <c r="F656">
        <v>1</v>
      </c>
      <c r="G656" t="str">
        <f>"Zespół Szkół Medycznych, ul. Piastowska 26, Prudnik"</f>
        <v>Zespół Szkół Medycznych, ul. Piastowska 26, Prudnik</v>
      </c>
      <c r="H656">
        <v>1562</v>
      </c>
      <c r="I656">
        <v>1440</v>
      </c>
      <c r="J656">
        <v>727</v>
      </c>
      <c r="K656">
        <v>3</v>
      </c>
      <c r="L656">
        <v>713</v>
      </c>
      <c r="M656">
        <v>727</v>
      </c>
      <c r="N656">
        <v>718</v>
      </c>
      <c r="O656">
        <v>9</v>
      </c>
      <c r="P656">
        <v>317</v>
      </c>
      <c r="Q656">
        <v>401</v>
      </c>
    </row>
    <row r="657" spans="1:17" ht="14.25">
      <c r="A657">
        <v>653</v>
      </c>
      <c r="B657" t="str">
        <f t="shared" si="119"/>
        <v>161004</v>
      </c>
      <c r="C657" t="str">
        <f t="shared" si="120"/>
        <v>gm. Prudnik</v>
      </c>
      <c r="D657" t="str">
        <f t="shared" si="116"/>
        <v>prudnicki</v>
      </c>
      <c r="E657" t="str">
        <f t="shared" si="115"/>
        <v>opolskie</v>
      </c>
      <c r="F657">
        <v>2</v>
      </c>
      <c r="G657" t="str">
        <f>"Miejska i Gminna Biblioteka Publiczna, ul. Zamkowa 6-8, Prudnik"</f>
        <v>Miejska i Gminna Biblioteka Publiczna, ul. Zamkowa 6-8, Prudnik</v>
      </c>
      <c r="H657">
        <v>1812</v>
      </c>
      <c r="I657">
        <v>1679</v>
      </c>
      <c r="J657">
        <v>805</v>
      </c>
      <c r="K657">
        <v>4</v>
      </c>
      <c r="L657">
        <v>874</v>
      </c>
      <c r="M657">
        <v>805</v>
      </c>
      <c r="N657">
        <v>800</v>
      </c>
      <c r="O657">
        <v>5</v>
      </c>
      <c r="P657">
        <v>355</v>
      </c>
      <c r="Q657">
        <v>445</v>
      </c>
    </row>
    <row r="658" spans="1:17" ht="14.25">
      <c r="A658">
        <v>654</v>
      </c>
      <c r="B658" t="str">
        <f t="shared" si="119"/>
        <v>161004</v>
      </c>
      <c r="C658" t="str">
        <f t="shared" si="120"/>
        <v>gm. Prudnik</v>
      </c>
      <c r="D658" t="str">
        <f t="shared" si="116"/>
        <v>prudnicki</v>
      </c>
      <c r="E658" t="str">
        <f t="shared" si="115"/>
        <v>opolskie</v>
      </c>
      <c r="F658">
        <v>3</v>
      </c>
      <c r="G658" t="str">
        <f>"Zespół Szkół Zawodowych Nr 1, ul. Prężyńska 3,5,7, Prudnik"</f>
        <v>Zespół Szkół Zawodowych Nr 1, ul. Prężyńska 3,5,7, Prudnik</v>
      </c>
      <c r="H658">
        <v>1457</v>
      </c>
      <c r="I658">
        <v>1382</v>
      </c>
      <c r="J658">
        <v>714</v>
      </c>
      <c r="K658">
        <v>0</v>
      </c>
      <c r="L658">
        <v>668</v>
      </c>
      <c r="M658">
        <v>714</v>
      </c>
      <c r="N658">
        <v>706</v>
      </c>
      <c r="O658">
        <v>8</v>
      </c>
      <c r="P658">
        <v>291</v>
      </c>
      <c r="Q658">
        <v>415</v>
      </c>
    </row>
    <row r="659" spans="1:17" ht="14.25">
      <c r="A659">
        <v>655</v>
      </c>
      <c r="B659" t="str">
        <f t="shared" si="119"/>
        <v>161004</v>
      </c>
      <c r="C659" t="str">
        <f t="shared" si="120"/>
        <v>gm. Prudnik</v>
      </c>
      <c r="D659" t="str">
        <f t="shared" si="116"/>
        <v>prudnicki</v>
      </c>
      <c r="E659" t="str">
        <f t="shared" si="115"/>
        <v>opolskie</v>
      </c>
      <c r="F659">
        <v>4</v>
      </c>
      <c r="G659" t="str">
        <f>"Publiczne Gimnazjum Nr 1, ul. Armii Krajowej 1, Prudnik"</f>
        <v>Publiczne Gimnazjum Nr 1, ul. Armii Krajowej 1, Prudnik</v>
      </c>
      <c r="H659">
        <v>2109</v>
      </c>
      <c r="I659">
        <v>1916</v>
      </c>
      <c r="J659">
        <v>791</v>
      </c>
      <c r="K659">
        <v>0</v>
      </c>
      <c r="L659">
        <v>1125</v>
      </c>
      <c r="M659">
        <v>790</v>
      </c>
      <c r="N659">
        <v>780</v>
      </c>
      <c r="O659">
        <v>10</v>
      </c>
      <c r="P659">
        <v>338</v>
      </c>
      <c r="Q659">
        <v>442</v>
      </c>
    </row>
    <row r="660" spans="1:17" ht="14.25">
      <c r="A660">
        <v>656</v>
      </c>
      <c r="B660" t="str">
        <f t="shared" si="119"/>
        <v>161004</v>
      </c>
      <c r="C660" t="str">
        <f t="shared" si="120"/>
        <v>gm. Prudnik</v>
      </c>
      <c r="D660" t="str">
        <f t="shared" si="116"/>
        <v>prudnicki</v>
      </c>
      <c r="E660" t="str">
        <f t="shared" si="115"/>
        <v>opolskie</v>
      </c>
      <c r="F660">
        <v>5</v>
      </c>
      <c r="G660" t="str">
        <f>"Zespół Szkół Ogólnokształcących Nr 1, ul. Gimnazjalna 2, Prudnik"</f>
        <v>Zespół Szkół Ogólnokształcących Nr 1, ul. Gimnazjalna 2, Prudnik</v>
      </c>
      <c r="H660">
        <v>1682</v>
      </c>
      <c r="I660">
        <v>1523</v>
      </c>
      <c r="J660">
        <v>715</v>
      </c>
      <c r="K660">
        <v>0</v>
      </c>
      <c r="L660">
        <v>808</v>
      </c>
      <c r="M660">
        <v>715</v>
      </c>
      <c r="N660">
        <v>696</v>
      </c>
      <c r="O660">
        <v>19</v>
      </c>
      <c r="P660">
        <v>321</v>
      </c>
      <c r="Q660">
        <v>375</v>
      </c>
    </row>
    <row r="661" spans="1:17" ht="14.25">
      <c r="A661">
        <v>657</v>
      </c>
      <c r="B661" t="str">
        <f t="shared" si="119"/>
        <v>161004</v>
      </c>
      <c r="C661" t="str">
        <f t="shared" si="120"/>
        <v>gm. Prudnik</v>
      </c>
      <c r="D661" t="str">
        <f t="shared" si="116"/>
        <v>prudnicki</v>
      </c>
      <c r="E661" t="str">
        <f t="shared" si="115"/>
        <v>opolskie</v>
      </c>
      <c r="F661">
        <v>6</v>
      </c>
      <c r="G661" t="str">
        <f>"Świetlica Spółdzielni Mieszkaniowej, ul. Wyszyńskiego 1a, Prudnik"</f>
        <v>Świetlica Spółdzielni Mieszkaniowej, ul. Wyszyńskiego 1a, Prudnik</v>
      </c>
      <c r="H661">
        <v>1701</v>
      </c>
      <c r="I661">
        <v>1600</v>
      </c>
      <c r="J661">
        <v>947</v>
      </c>
      <c r="K661">
        <v>0</v>
      </c>
      <c r="L661">
        <v>653</v>
      </c>
      <c r="M661">
        <v>947</v>
      </c>
      <c r="N661">
        <v>935</v>
      </c>
      <c r="O661">
        <v>12</v>
      </c>
      <c r="P661">
        <v>352</v>
      </c>
      <c r="Q661">
        <v>583</v>
      </c>
    </row>
    <row r="662" spans="1:17" ht="14.25">
      <c r="A662">
        <v>658</v>
      </c>
      <c r="B662" t="str">
        <f t="shared" si="119"/>
        <v>161004</v>
      </c>
      <c r="C662" t="str">
        <f t="shared" si="120"/>
        <v>gm. Prudnik</v>
      </c>
      <c r="D662" t="str">
        <f t="shared" si="116"/>
        <v>prudnicki</v>
      </c>
      <c r="E662" t="str">
        <f t="shared" si="115"/>
        <v>opolskie</v>
      </c>
      <c r="F662">
        <v>7</v>
      </c>
      <c r="G662" t="str">
        <f>"Szkoła Podstawowa Nr 4, ul. Dąbrowskiego 2, Prudnik"</f>
        <v>Szkoła Podstawowa Nr 4, ul. Dąbrowskiego 2, Prudnik</v>
      </c>
      <c r="H662">
        <v>1670</v>
      </c>
      <c r="I662">
        <v>1525</v>
      </c>
      <c r="J662">
        <v>942</v>
      </c>
      <c r="K662">
        <v>2</v>
      </c>
      <c r="L662">
        <v>583</v>
      </c>
      <c r="M662">
        <v>942</v>
      </c>
      <c r="N662">
        <v>933</v>
      </c>
      <c r="O662">
        <v>9</v>
      </c>
      <c r="P662">
        <v>343</v>
      </c>
      <c r="Q662">
        <v>590</v>
      </c>
    </row>
    <row r="663" spans="1:17" ht="14.25">
      <c r="A663">
        <v>659</v>
      </c>
      <c r="B663" t="str">
        <f t="shared" si="119"/>
        <v>161004</v>
      </c>
      <c r="C663" t="str">
        <f t="shared" si="120"/>
        <v>gm. Prudnik</v>
      </c>
      <c r="D663" t="str">
        <f t="shared" si="116"/>
        <v>prudnicki</v>
      </c>
      <c r="E663" t="str">
        <f t="shared" si="115"/>
        <v>opolskie</v>
      </c>
      <c r="F663">
        <v>8</v>
      </c>
      <c r="G663" t="str">
        <f>"II Liceum Ogólnokształcące, ul. Kościuszki 55, Prudnik"</f>
        <v>II Liceum Ogólnokształcące, ul. Kościuszki 55, Prudnik</v>
      </c>
      <c r="H663">
        <v>1217</v>
      </c>
      <c r="I663">
        <v>1119</v>
      </c>
      <c r="J663">
        <v>700</v>
      </c>
      <c r="K663">
        <v>0</v>
      </c>
      <c r="L663">
        <v>419</v>
      </c>
      <c r="M663">
        <v>700</v>
      </c>
      <c r="N663">
        <v>694</v>
      </c>
      <c r="O663">
        <v>6</v>
      </c>
      <c r="P663">
        <v>228</v>
      </c>
      <c r="Q663">
        <v>466</v>
      </c>
    </row>
    <row r="664" spans="1:17" ht="14.25">
      <c r="A664">
        <v>660</v>
      </c>
      <c r="B664" t="str">
        <f t="shared" si="119"/>
        <v>161004</v>
      </c>
      <c r="C664" t="str">
        <f t="shared" si="120"/>
        <v>gm. Prudnik</v>
      </c>
      <c r="D664" t="str">
        <f t="shared" si="116"/>
        <v>prudnicki</v>
      </c>
      <c r="E664" t="str">
        <f t="shared" si="115"/>
        <v>opolskie</v>
      </c>
      <c r="F664">
        <v>9</v>
      </c>
      <c r="G664" t="str">
        <f>"Publiczne Przedszkole Nr 6, ul. Podgórna 9a, Prudnik"</f>
        <v>Publiczne Przedszkole Nr 6, ul. Podgórna 9a, Prudnik</v>
      </c>
      <c r="H664">
        <v>1136</v>
      </c>
      <c r="I664">
        <v>1039</v>
      </c>
      <c r="J664">
        <v>608</v>
      </c>
      <c r="K664">
        <v>0</v>
      </c>
      <c r="L664">
        <v>431</v>
      </c>
      <c r="M664">
        <v>608</v>
      </c>
      <c r="N664">
        <v>602</v>
      </c>
      <c r="O664">
        <v>6</v>
      </c>
      <c r="P664">
        <v>249</v>
      </c>
      <c r="Q664">
        <v>353</v>
      </c>
    </row>
    <row r="665" spans="1:17" ht="14.25">
      <c r="A665">
        <v>661</v>
      </c>
      <c r="B665" t="str">
        <f t="shared" si="119"/>
        <v>161004</v>
      </c>
      <c r="C665" t="str">
        <f t="shared" si="120"/>
        <v>gm. Prudnik</v>
      </c>
      <c r="D665" t="str">
        <f t="shared" si="116"/>
        <v>prudnicki</v>
      </c>
      <c r="E665" t="str">
        <f t="shared" si="115"/>
        <v>opolskie</v>
      </c>
      <c r="F665">
        <v>10</v>
      </c>
      <c r="G665" t="str">
        <f>"Zespół Szkół Zawodowych Nr 1, ul. Podgórna 5, Prudnik"</f>
        <v>Zespół Szkół Zawodowych Nr 1, ul. Podgórna 5, Prudnik</v>
      </c>
      <c r="H665">
        <v>1907</v>
      </c>
      <c r="I665">
        <v>1760</v>
      </c>
      <c r="J665">
        <v>1040</v>
      </c>
      <c r="K665">
        <v>1</v>
      </c>
      <c r="L665">
        <v>720</v>
      </c>
      <c r="M665">
        <v>1040</v>
      </c>
      <c r="N665">
        <v>1029</v>
      </c>
      <c r="O665">
        <v>11</v>
      </c>
      <c r="P665">
        <v>460</v>
      </c>
      <c r="Q665">
        <v>569</v>
      </c>
    </row>
    <row r="666" spans="1:17" ht="14.25">
      <c r="A666">
        <v>662</v>
      </c>
      <c r="B666" t="str">
        <f t="shared" si="119"/>
        <v>161004</v>
      </c>
      <c r="C666" t="str">
        <f t="shared" si="120"/>
        <v>gm. Prudnik</v>
      </c>
      <c r="D666" t="str">
        <f t="shared" si="116"/>
        <v>prudnicki</v>
      </c>
      <c r="E666" t="str">
        <f t="shared" si="115"/>
        <v>opolskie</v>
      </c>
      <c r="F666">
        <v>11</v>
      </c>
      <c r="G666" t="str">
        <f>"Szkoła Podstawowa, ul. Podgórna 9, Prudnik"</f>
        <v>Szkoła Podstawowa, ul. Podgórna 9, Prudnik</v>
      </c>
      <c r="H666">
        <v>1745</v>
      </c>
      <c r="I666">
        <v>1599</v>
      </c>
      <c r="J666">
        <v>902</v>
      </c>
      <c r="K666">
        <v>0</v>
      </c>
      <c r="L666">
        <v>697</v>
      </c>
      <c r="M666">
        <v>902</v>
      </c>
      <c r="N666">
        <v>889</v>
      </c>
      <c r="O666">
        <v>13</v>
      </c>
      <c r="P666">
        <v>393</v>
      </c>
      <c r="Q666">
        <v>496</v>
      </c>
    </row>
    <row r="667" spans="1:17" ht="14.25">
      <c r="A667">
        <v>663</v>
      </c>
      <c r="B667" t="str">
        <f t="shared" si="119"/>
        <v>161004</v>
      </c>
      <c r="C667" t="str">
        <f t="shared" si="120"/>
        <v>gm. Prudnik</v>
      </c>
      <c r="D667" t="str">
        <f t="shared" si="116"/>
        <v>prudnicki</v>
      </c>
      <c r="E667" t="str">
        <f t="shared" si="115"/>
        <v>opolskie</v>
      </c>
      <c r="F667">
        <v>12</v>
      </c>
      <c r="G667" t="str">
        <f>"Szkoła Podstawowa, Moszczanka 166, Moszczanka"</f>
        <v>Szkoła Podstawowa, Moszczanka 166, Moszczanka</v>
      </c>
      <c r="H667">
        <v>922</v>
      </c>
      <c r="I667">
        <v>800</v>
      </c>
      <c r="J667">
        <v>464</v>
      </c>
      <c r="K667">
        <v>0</v>
      </c>
      <c r="L667">
        <v>336</v>
      </c>
      <c r="M667">
        <v>464</v>
      </c>
      <c r="N667">
        <v>458</v>
      </c>
      <c r="O667">
        <v>6</v>
      </c>
      <c r="P667">
        <v>268</v>
      </c>
      <c r="Q667">
        <v>190</v>
      </c>
    </row>
    <row r="668" spans="1:17" ht="14.25">
      <c r="A668">
        <v>664</v>
      </c>
      <c r="B668" t="str">
        <f t="shared" si="119"/>
        <v>161004</v>
      </c>
      <c r="C668" t="str">
        <f t="shared" si="120"/>
        <v>gm. Prudnik</v>
      </c>
      <c r="D668" t="str">
        <f t="shared" si="116"/>
        <v>prudnicki</v>
      </c>
      <c r="E668" t="str">
        <f t="shared" si="115"/>
        <v>opolskie</v>
      </c>
      <c r="F668">
        <v>13</v>
      </c>
      <c r="G668" t="str">
        <f>"Szkoła Podstawowa, Rudziczka 266, Rudziczka"</f>
        <v>Szkoła Podstawowa, Rudziczka 266, Rudziczka</v>
      </c>
      <c r="H668">
        <v>698</v>
      </c>
      <c r="I668">
        <v>722</v>
      </c>
      <c r="J668">
        <v>331</v>
      </c>
      <c r="K668">
        <v>2</v>
      </c>
      <c r="L668">
        <v>391</v>
      </c>
      <c r="M668">
        <v>331</v>
      </c>
      <c r="N668">
        <v>328</v>
      </c>
      <c r="O668">
        <v>3</v>
      </c>
      <c r="P668">
        <v>215</v>
      </c>
      <c r="Q668">
        <v>113</v>
      </c>
    </row>
    <row r="669" spans="1:17" ht="14.25">
      <c r="A669">
        <v>665</v>
      </c>
      <c r="B669" t="str">
        <f t="shared" si="119"/>
        <v>161004</v>
      </c>
      <c r="C669" t="str">
        <f t="shared" si="120"/>
        <v>gm. Prudnik</v>
      </c>
      <c r="D669" t="str">
        <f t="shared" si="116"/>
        <v>prudnicki</v>
      </c>
      <c r="E669" t="str">
        <f t="shared" si="115"/>
        <v>opolskie</v>
      </c>
      <c r="F669">
        <v>14</v>
      </c>
      <c r="G669" t="str">
        <f>"Publiczne Przedszkole, Niemysłowice 37, Niemysłowice"</f>
        <v>Publiczne Przedszkole, Niemysłowice 37, Niemysłowice</v>
      </c>
      <c r="H669">
        <v>555</v>
      </c>
      <c r="I669">
        <v>579</v>
      </c>
      <c r="J669">
        <v>316</v>
      </c>
      <c r="K669">
        <v>0</v>
      </c>
      <c r="L669">
        <v>263</v>
      </c>
      <c r="M669">
        <v>316</v>
      </c>
      <c r="N669">
        <v>313</v>
      </c>
      <c r="O669">
        <v>3</v>
      </c>
      <c r="P669">
        <v>191</v>
      </c>
      <c r="Q669">
        <v>122</v>
      </c>
    </row>
    <row r="670" spans="1:17" ht="14.25">
      <c r="A670">
        <v>666</v>
      </c>
      <c r="B670" t="str">
        <f t="shared" si="119"/>
        <v>161004</v>
      </c>
      <c r="C670" t="str">
        <f t="shared" si="120"/>
        <v>gm. Prudnik</v>
      </c>
      <c r="D670" t="str">
        <f t="shared" si="116"/>
        <v>prudnicki</v>
      </c>
      <c r="E670" t="str">
        <f t="shared" si="115"/>
        <v>opolskie</v>
      </c>
      <c r="F670">
        <v>15</v>
      </c>
      <c r="G670" t="str">
        <f>"Szkoła Podstawowa, ul. Głuchołaska 13, Łąka Prudnicka"</f>
        <v>Szkoła Podstawowa, ul. Głuchołaska 13, Łąka Prudnicka</v>
      </c>
      <c r="H670">
        <v>1102</v>
      </c>
      <c r="I670">
        <v>1041</v>
      </c>
      <c r="J670">
        <v>501</v>
      </c>
      <c r="K670">
        <v>1</v>
      </c>
      <c r="L670">
        <v>540</v>
      </c>
      <c r="M670">
        <v>501</v>
      </c>
      <c r="N670">
        <v>493</v>
      </c>
      <c r="O670">
        <v>8</v>
      </c>
      <c r="P670">
        <v>250</v>
      </c>
      <c r="Q670">
        <v>243</v>
      </c>
    </row>
    <row r="671" spans="1:17" ht="14.25">
      <c r="A671">
        <v>667</v>
      </c>
      <c r="B671" t="str">
        <f t="shared" si="119"/>
        <v>161004</v>
      </c>
      <c r="C671" t="str">
        <f t="shared" si="120"/>
        <v>gm. Prudnik</v>
      </c>
      <c r="D671" t="str">
        <f t="shared" si="116"/>
        <v>prudnicki</v>
      </c>
      <c r="E671" t="str">
        <f t="shared" si="115"/>
        <v>opolskie</v>
      </c>
      <c r="F671">
        <v>16</v>
      </c>
      <c r="G671" t="str">
        <f>"Wiejski Dom Kultury, Mieszkowice 145, Mieszkowice"</f>
        <v>Wiejski Dom Kultury, Mieszkowice 145, Mieszkowice</v>
      </c>
      <c r="H671">
        <v>363</v>
      </c>
      <c r="I671">
        <v>380</v>
      </c>
      <c r="J671">
        <v>192</v>
      </c>
      <c r="K671">
        <v>0</v>
      </c>
      <c r="L671">
        <v>188</v>
      </c>
      <c r="M671">
        <v>192</v>
      </c>
      <c r="N671">
        <v>190</v>
      </c>
      <c r="O671">
        <v>2</v>
      </c>
      <c r="P671">
        <v>138</v>
      </c>
      <c r="Q671">
        <v>52</v>
      </c>
    </row>
    <row r="672" spans="1:17" ht="14.25">
      <c r="A672">
        <v>668</v>
      </c>
      <c r="B672" t="str">
        <f t="shared" si="119"/>
        <v>161004</v>
      </c>
      <c r="C672" t="str">
        <f t="shared" si="120"/>
        <v>gm. Prudnik</v>
      </c>
      <c r="D672" t="str">
        <f t="shared" si="116"/>
        <v>prudnicki</v>
      </c>
      <c r="E672" t="str">
        <f t="shared" si="115"/>
        <v>opolskie</v>
      </c>
      <c r="F672">
        <v>17</v>
      </c>
      <c r="G672" t="str">
        <f>"Szkoła Podstawowa, Szybowice 72, Szybowice"</f>
        <v>Szkoła Podstawowa, Szybowice 72, Szybowice</v>
      </c>
      <c r="H672">
        <v>812</v>
      </c>
      <c r="I672">
        <v>724</v>
      </c>
      <c r="J672">
        <v>422</v>
      </c>
      <c r="K672">
        <v>0</v>
      </c>
      <c r="L672">
        <v>302</v>
      </c>
      <c r="M672">
        <v>422</v>
      </c>
      <c r="N672">
        <v>418</v>
      </c>
      <c r="O672">
        <v>4</v>
      </c>
      <c r="P672">
        <v>297</v>
      </c>
      <c r="Q672">
        <v>121</v>
      </c>
    </row>
    <row r="673" spans="1:17" ht="14.25">
      <c r="A673">
        <v>669</v>
      </c>
      <c r="B673" t="str">
        <f t="shared" si="119"/>
        <v>161004</v>
      </c>
      <c r="C673" t="str">
        <f t="shared" si="120"/>
        <v>gm. Prudnik</v>
      </c>
      <c r="D673" t="str">
        <f t="shared" si="116"/>
        <v>prudnicki</v>
      </c>
      <c r="E673" t="str">
        <f t="shared" si="115"/>
        <v>opolskie</v>
      </c>
      <c r="F673">
        <v>18</v>
      </c>
      <c r="G673" t="str">
        <f>"Publiczne Przedszkole, Wierzbiec 6, Wierzbiec"</f>
        <v>Publiczne Przedszkole, Wierzbiec 6, Wierzbiec</v>
      </c>
      <c r="H673">
        <v>159</v>
      </c>
      <c r="I673">
        <v>147</v>
      </c>
      <c r="J673">
        <v>79</v>
      </c>
      <c r="K673">
        <v>0</v>
      </c>
      <c r="L673">
        <v>68</v>
      </c>
      <c r="M673">
        <v>79</v>
      </c>
      <c r="N673">
        <v>79</v>
      </c>
      <c r="O673">
        <v>0</v>
      </c>
      <c r="P673">
        <v>41</v>
      </c>
      <c r="Q673">
        <v>38</v>
      </c>
    </row>
    <row r="674" spans="1:17" ht="14.25">
      <c r="A674">
        <v>670</v>
      </c>
      <c r="B674" t="str">
        <f t="shared" si="119"/>
        <v>161004</v>
      </c>
      <c r="C674" t="str">
        <f t="shared" si="120"/>
        <v>gm. Prudnik</v>
      </c>
      <c r="D674" t="str">
        <f t="shared" si="116"/>
        <v>prudnicki</v>
      </c>
      <c r="E674" t="str">
        <f t="shared" si="115"/>
        <v>opolskie</v>
      </c>
      <c r="F674">
        <v>19</v>
      </c>
      <c r="G674" t="str">
        <f>"Wiejski Dom Kultury, Czyżowice 57, Czyżowice"</f>
        <v>Wiejski Dom Kultury, Czyżowice 57, Czyżowice</v>
      </c>
      <c r="H674">
        <v>236</v>
      </c>
      <c r="I674">
        <v>220</v>
      </c>
      <c r="J674">
        <v>134</v>
      </c>
      <c r="K674">
        <v>0</v>
      </c>
      <c r="L674">
        <v>86</v>
      </c>
      <c r="M674">
        <v>134</v>
      </c>
      <c r="N674">
        <v>130</v>
      </c>
      <c r="O674">
        <v>4</v>
      </c>
      <c r="P674">
        <v>87</v>
      </c>
      <c r="Q674">
        <v>43</v>
      </c>
    </row>
    <row r="675" spans="1:17" ht="14.25">
      <c r="A675">
        <v>671</v>
      </c>
      <c r="B675" t="str">
        <f t="shared" si="119"/>
        <v>161004</v>
      </c>
      <c r="C675" t="str">
        <f t="shared" si="120"/>
        <v>gm. Prudnik</v>
      </c>
      <c r="D675" t="str">
        <f t="shared" si="116"/>
        <v>prudnicki</v>
      </c>
      <c r="E675" t="str">
        <f t="shared" si="115"/>
        <v>opolskie</v>
      </c>
      <c r="F675">
        <v>20</v>
      </c>
      <c r="G675" t="str">
        <f>"Wiejski Dom Kultury, Piorunkowice 53, Piorunkowice"</f>
        <v>Wiejski Dom Kultury, Piorunkowice 53, Piorunkowice</v>
      </c>
      <c r="H675">
        <v>158</v>
      </c>
      <c r="I675">
        <v>147</v>
      </c>
      <c r="J675">
        <v>67</v>
      </c>
      <c r="K675">
        <v>0</v>
      </c>
      <c r="L675">
        <v>80</v>
      </c>
      <c r="M675">
        <v>67</v>
      </c>
      <c r="N675">
        <v>65</v>
      </c>
      <c r="O675">
        <v>2</v>
      </c>
      <c r="P675">
        <v>42</v>
      </c>
      <c r="Q675">
        <v>23</v>
      </c>
    </row>
    <row r="676" spans="1:17" ht="14.25">
      <c r="A676">
        <v>672</v>
      </c>
      <c r="B676" t="str">
        <f t="shared" si="119"/>
        <v>161004</v>
      </c>
      <c r="C676" t="str">
        <f t="shared" si="120"/>
        <v>gm. Prudnik</v>
      </c>
      <c r="D676" t="str">
        <f t="shared" si="116"/>
        <v>prudnicki</v>
      </c>
      <c r="E676" t="str">
        <f t="shared" si="115"/>
        <v>opolskie</v>
      </c>
      <c r="F676">
        <v>21</v>
      </c>
      <c r="G676" t="str">
        <f>"Prudnickie Centrum Medyczne, ul. Piastowska 64, Prudnik"</f>
        <v>Prudnickie Centrum Medyczne, ul. Piastowska 64, Prudnik</v>
      </c>
      <c r="H676">
        <v>103</v>
      </c>
      <c r="I676">
        <v>99</v>
      </c>
      <c r="J676">
        <v>32</v>
      </c>
      <c r="K676">
        <v>0</v>
      </c>
      <c r="L676">
        <v>67</v>
      </c>
      <c r="M676">
        <v>32</v>
      </c>
      <c r="N676">
        <v>31</v>
      </c>
      <c r="O676">
        <v>1</v>
      </c>
      <c r="P676">
        <v>19</v>
      </c>
      <c r="Q676">
        <v>12</v>
      </c>
    </row>
    <row r="677" spans="1:17" ht="14.25">
      <c r="A677">
        <v>673</v>
      </c>
      <c r="B677" t="str">
        <f t="shared" si="119"/>
        <v>161004</v>
      </c>
      <c r="C677" t="str">
        <f t="shared" si="120"/>
        <v>gm. Prudnik</v>
      </c>
      <c r="D677" t="str">
        <f t="shared" si="116"/>
        <v>prudnicki</v>
      </c>
      <c r="E677" t="str">
        <f t="shared" si="115"/>
        <v>opolskie</v>
      </c>
      <c r="F677">
        <v>22</v>
      </c>
      <c r="G677" t="str">
        <f>"Dom Pomocy Społecznej, ul. Młyńska 11, Prudnik"</f>
        <v>Dom Pomocy Społecznej, ul. Młyńska 11, Prudnik</v>
      </c>
      <c r="H677">
        <v>77</v>
      </c>
      <c r="I677">
        <v>98</v>
      </c>
      <c r="J677">
        <v>66</v>
      </c>
      <c r="K677">
        <v>0</v>
      </c>
      <c r="L677">
        <v>32</v>
      </c>
      <c r="M677">
        <v>66</v>
      </c>
      <c r="N677">
        <v>66</v>
      </c>
      <c r="O677">
        <v>0</v>
      </c>
      <c r="P677">
        <v>40</v>
      </c>
      <c r="Q677">
        <v>26</v>
      </c>
    </row>
    <row r="678" spans="1:17" ht="14.25">
      <c r="A678">
        <v>674</v>
      </c>
      <c r="B678" t="str">
        <f t="shared" si="119"/>
        <v>161004</v>
      </c>
      <c r="C678" t="str">
        <f t="shared" si="120"/>
        <v>gm. Prudnik</v>
      </c>
      <c r="D678" t="str">
        <f t="shared" si="116"/>
        <v>prudnicki</v>
      </c>
      <c r="E678" t="str">
        <f t="shared" si="115"/>
        <v>opolskie</v>
      </c>
      <c r="F678">
        <v>23</v>
      </c>
      <c r="G678" t="str">
        <f>"Areszt Śledczy, ul. Kościuszki 7, Prudnik"</f>
        <v>Areszt Śledczy, ul. Kościuszki 7, Prudnik</v>
      </c>
      <c r="H678">
        <v>132</v>
      </c>
      <c r="I678">
        <v>149</v>
      </c>
      <c r="J678">
        <v>104</v>
      </c>
      <c r="K678">
        <v>0</v>
      </c>
      <c r="L678">
        <v>45</v>
      </c>
      <c r="M678">
        <v>104</v>
      </c>
      <c r="N678">
        <v>101</v>
      </c>
      <c r="O678">
        <v>3</v>
      </c>
      <c r="P678">
        <v>8</v>
      </c>
      <c r="Q678">
        <v>93</v>
      </c>
    </row>
    <row r="679" spans="1:17" ht="14.25">
      <c r="A679">
        <v>675</v>
      </c>
      <c r="B679" t="str">
        <f>"161101"</f>
        <v>161101</v>
      </c>
      <c r="C679" t="str">
        <f>"gm. Izbicko"</f>
        <v>gm. Izbicko</v>
      </c>
      <c r="D679" t="str">
        <f aca="true" t="shared" si="121" ref="D679:D710">"strzelecki"</f>
        <v>strzelecki</v>
      </c>
      <c r="E679" t="str">
        <f t="shared" si="115"/>
        <v>opolskie</v>
      </c>
      <c r="F679">
        <v>1</v>
      </c>
      <c r="G679" t="str">
        <f>"Urząd Gminy w Izbicku - sala narad, ul. Powstańców Śląskich 12, Izbicko"</f>
        <v>Urząd Gminy w Izbicku - sala narad, ul. Powstańców Śląskich 12, Izbicko</v>
      </c>
      <c r="H679">
        <v>1350</v>
      </c>
      <c r="I679">
        <v>1280</v>
      </c>
      <c r="J679">
        <v>628</v>
      </c>
      <c r="K679">
        <v>0</v>
      </c>
      <c r="L679">
        <v>652</v>
      </c>
      <c r="M679">
        <v>628</v>
      </c>
      <c r="N679">
        <v>623</v>
      </c>
      <c r="O679">
        <v>5</v>
      </c>
      <c r="P679">
        <v>124</v>
      </c>
      <c r="Q679">
        <v>499</v>
      </c>
    </row>
    <row r="680" spans="1:17" ht="14.25">
      <c r="A680">
        <v>676</v>
      </c>
      <c r="B680" t="str">
        <f>"161101"</f>
        <v>161101</v>
      </c>
      <c r="C680" t="str">
        <f>"gm. Izbicko"</f>
        <v>gm. Izbicko</v>
      </c>
      <c r="D680" t="str">
        <f t="shared" si="121"/>
        <v>strzelecki</v>
      </c>
      <c r="E680" t="str">
        <f t="shared" si="115"/>
        <v>opolskie</v>
      </c>
      <c r="F680">
        <v>2</v>
      </c>
      <c r="G680" t="str">
        <f>"Zespół Szkolno - Przedszkolny w Krośnicy, ul. Szkolna 18, Krośnica"</f>
        <v>Zespół Szkolno - Przedszkolny w Krośnicy, ul. Szkolna 18, Krośnica</v>
      </c>
      <c r="H680">
        <v>1047</v>
      </c>
      <c r="I680">
        <v>960</v>
      </c>
      <c r="J680">
        <v>370</v>
      </c>
      <c r="K680">
        <v>0</v>
      </c>
      <c r="L680">
        <v>590</v>
      </c>
      <c r="M680">
        <v>370</v>
      </c>
      <c r="N680">
        <v>370</v>
      </c>
      <c r="O680">
        <v>0</v>
      </c>
      <c r="P680">
        <v>88</v>
      </c>
      <c r="Q680">
        <v>282</v>
      </c>
    </row>
    <row r="681" spans="1:17" ht="14.25">
      <c r="A681">
        <v>677</v>
      </c>
      <c r="B681" t="str">
        <f>"161101"</f>
        <v>161101</v>
      </c>
      <c r="C681" t="str">
        <f>"gm. Izbicko"</f>
        <v>gm. Izbicko</v>
      </c>
      <c r="D681" t="str">
        <f t="shared" si="121"/>
        <v>strzelecki</v>
      </c>
      <c r="E681" t="str">
        <f t="shared" si="115"/>
        <v>opolskie</v>
      </c>
      <c r="F681">
        <v>3</v>
      </c>
      <c r="G681" t="str">
        <f>"Klub przy OSP w Siedlcu, ul. Wiejska 30, Siedlec"</f>
        <v>Klub przy OSP w Siedlcu, ul. Wiejska 30, Siedlec</v>
      </c>
      <c r="H681">
        <v>688</v>
      </c>
      <c r="I681">
        <v>721</v>
      </c>
      <c r="J681">
        <v>244</v>
      </c>
      <c r="K681">
        <v>0</v>
      </c>
      <c r="L681">
        <v>477</v>
      </c>
      <c r="M681">
        <v>244</v>
      </c>
      <c r="N681">
        <v>241</v>
      </c>
      <c r="O681">
        <v>3</v>
      </c>
      <c r="P681">
        <v>49</v>
      </c>
      <c r="Q681">
        <v>192</v>
      </c>
    </row>
    <row r="682" spans="1:17" ht="14.25">
      <c r="A682">
        <v>678</v>
      </c>
      <c r="B682" t="str">
        <f>"161101"</f>
        <v>161101</v>
      </c>
      <c r="C682" t="str">
        <f>"gm. Izbicko"</f>
        <v>gm. Izbicko</v>
      </c>
      <c r="D682" t="str">
        <f t="shared" si="121"/>
        <v>strzelecki</v>
      </c>
      <c r="E682" t="str">
        <f t="shared" si="115"/>
        <v>opolskie</v>
      </c>
      <c r="F682">
        <v>4</v>
      </c>
      <c r="G682" t="str">
        <f>"Zespół Szkolno Przedszkolny w Otmicach, ul. Generała Zawadzkiego 28, Otmice"</f>
        <v>Zespół Szkolno Przedszkolny w Otmicach, ul. Generała Zawadzkiego 28, Otmice</v>
      </c>
      <c r="H682">
        <v>916</v>
      </c>
      <c r="I682">
        <v>880</v>
      </c>
      <c r="J682">
        <v>330</v>
      </c>
      <c r="K682">
        <v>0</v>
      </c>
      <c r="L682">
        <v>550</v>
      </c>
      <c r="M682">
        <v>330</v>
      </c>
      <c r="N682">
        <v>324</v>
      </c>
      <c r="O682">
        <v>6</v>
      </c>
      <c r="P682">
        <v>52</v>
      </c>
      <c r="Q682">
        <v>272</v>
      </c>
    </row>
    <row r="683" spans="1:17" ht="14.25">
      <c r="A683">
        <v>679</v>
      </c>
      <c r="B683" t="str">
        <f>"161101"</f>
        <v>161101</v>
      </c>
      <c r="C683" t="str">
        <f>"gm. Izbicko"</f>
        <v>gm. Izbicko</v>
      </c>
      <c r="D683" t="str">
        <f t="shared" si="121"/>
        <v>strzelecki</v>
      </c>
      <c r="E683" t="str">
        <f t="shared" si="115"/>
        <v>opolskie</v>
      </c>
      <c r="F683">
        <v>5</v>
      </c>
      <c r="G683" t="str">
        <f>"Klub Wiejski w Suchodańcu, ul. Buczka 2, Suchodaniec"</f>
        <v>Klub Wiejski w Suchodańcu, ul. Buczka 2, Suchodaniec</v>
      </c>
      <c r="H683">
        <v>401</v>
      </c>
      <c r="I683">
        <v>400</v>
      </c>
      <c r="J683">
        <v>148</v>
      </c>
      <c r="K683">
        <v>0</v>
      </c>
      <c r="L683">
        <v>252</v>
      </c>
      <c r="M683">
        <v>148</v>
      </c>
      <c r="N683">
        <v>146</v>
      </c>
      <c r="O683">
        <v>2</v>
      </c>
      <c r="P683">
        <v>72</v>
      </c>
      <c r="Q683">
        <v>74</v>
      </c>
    </row>
    <row r="684" spans="1:17" ht="14.25">
      <c r="A684">
        <v>680</v>
      </c>
      <c r="B684" t="str">
        <f aca="true" t="shared" si="122" ref="B684:B690">"161102"</f>
        <v>161102</v>
      </c>
      <c r="C684" t="str">
        <f aca="true" t="shared" si="123" ref="C684:C690">"gm. Jemielnica"</f>
        <v>gm. Jemielnica</v>
      </c>
      <c r="D684" t="str">
        <f t="shared" si="121"/>
        <v>strzelecki</v>
      </c>
      <c r="E684" t="str">
        <f t="shared" si="115"/>
        <v>opolskie</v>
      </c>
      <c r="F684">
        <v>1</v>
      </c>
      <c r="G684" t="str">
        <f>"Publiczna Szkoła Podstawowa, ul. Szkolna 2, Jemielnica"</f>
        <v>Publiczna Szkoła Podstawowa, ul. Szkolna 2, Jemielnica</v>
      </c>
      <c r="H684">
        <v>741</v>
      </c>
      <c r="I684">
        <v>715</v>
      </c>
      <c r="J684">
        <v>270</v>
      </c>
      <c r="K684">
        <v>0</v>
      </c>
      <c r="L684">
        <v>445</v>
      </c>
      <c r="M684">
        <v>270</v>
      </c>
      <c r="N684">
        <v>264</v>
      </c>
      <c r="O684">
        <v>6</v>
      </c>
      <c r="P684">
        <v>71</v>
      </c>
      <c r="Q684">
        <v>193</v>
      </c>
    </row>
    <row r="685" spans="1:17" ht="14.25">
      <c r="A685">
        <v>681</v>
      </c>
      <c r="B685" t="str">
        <f t="shared" si="122"/>
        <v>161102</v>
      </c>
      <c r="C685" t="str">
        <f t="shared" si="123"/>
        <v>gm. Jemielnica</v>
      </c>
      <c r="D685" t="str">
        <f t="shared" si="121"/>
        <v>strzelecki</v>
      </c>
      <c r="E685" t="str">
        <f t="shared" si="115"/>
        <v>opolskie</v>
      </c>
      <c r="F685">
        <v>2</v>
      </c>
      <c r="G685" t="str">
        <f>"Publiczne Gimnazjum, ul. Szkolna 2a, Jemielnica"</f>
        <v>Publiczne Gimnazjum, ul. Szkolna 2a, Jemielnica</v>
      </c>
      <c r="H685">
        <v>2154</v>
      </c>
      <c r="I685">
        <v>2000</v>
      </c>
      <c r="J685">
        <v>644</v>
      </c>
      <c r="K685">
        <v>0</v>
      </c>
      <c r="L685">
        <v>1356</v>
      </c>
      <c r="M685">
        <v>644</v>
      </c>
      <c r="N685">
        <v>638</v>
      </c>
      <c r="O685">
        <v>6</v>
      </c>
      <c r="P685">
        <v>194</v>
      </c>
      <c r="Q685">
        <v>444</v>
      </c>
    </row>
    <row r="686" spans="1:17" ht="14.25">
      <c r="A686">
        <v>682</v>
      </c>
      <c r="B686" t="str">
        <f t="shared" si="122"/>
        <v>161102</v>
      </c>
      <c r="C686" t="str">
        <f t="shared" si="123"/>
        <v>gm. Jemielnica</v>
      </c>
      <c r="D686" t="str">
        <f t="shared" si="121"/>
        <v>strzelecki</v>
      </c>
      <c r="E686" t="str">
        <f t="shared" si="115"/>
        <v>opolskie</v>
      </c>
      <c r="F686">
        <v>3</v>
      </c>
      <c r="G686" t="str">
        <f>"Publiczna Szkoła Podstawowa, ul. Kościuszki 101, Piotrówka"</f>
        <v>Publiczna Szkoła Podstawowa, ul. Kościuszki 101, Piotrówka</v>
      </c>
      <c r="H686">
        <v>1110</v>
      </c>
      <c r="I686">
        <v>1041</v>
      </c>
      <c r="J686">
        <v>413</v>
      </c>
      <c r="K686">
        <v>0</v>
      </c>
      <c r="L686">
        <v>628</v>
      </c>
      <c r="M686">
        <v>413</v>
      </c>
      <c r="N686">
        <v>406</v>
      </c>
      <c r="O686">
        <v>7</v>
      </c>
      <c r="P686">
        <v>158</v>
      </c>
      <c r="Q686">
        <v>248</v>
      </c>
    </row>
    <row r="687" spans="1:17" ht="14.25">
      <c r="A687">
        <v>683</v>
      </c>
      <c r="B687" t="str">
        <f t="shared" si="122"/>
        <v>161102</v>
      </c>
      <c r="C687" t="str">
        <f t="shared" si="123"/>
        <v>gm. Jemielnica</v>
      </c>
      <c r="D687" t="str">
        <f t="shared" si="121"/>
        <v>strzelecki</v>
      </c>
      <c r="E687" t="str">
        <f t="shared" si="115"/>
        <v>opolskie</v>
      </c>
      <c r="F687">
        <v>4</v>
      </c>
      <c r="G687" t="str">
        <f>"Świetlica Wiejska, ul. Powstańców Śląskich 13, Centawa"</f>
        <v>Świetlica Wiejska, ul. Powstańców Śląskich 13, Centawa</v>
      </c>
      <c r="H687">
        <v>445</v>
      </c>
      <c r="I687">
        <v>474</v>
      </c>
      <c r="J687">
        <v>154</v>
      </c>
      <c r="K687">
        <v>0</v>
      </c>
      <c r="L687">
        <v>320</v>
      </c>
      <c r="M687">
        <v>154</v>
      </c>
      <c r="N687">
        <v>154</v>
      </c>
      <c r="O687">
        <v>0</v>
      </c>
      <c r="P687">
        <v>44</v>
      </c>
      <c r="Q687">
        <v>110</v>
      </c>
    </row>
    <row r="688" spans="1:17" ht="14.25">
      <c r="A688">
        <v>684</v>
      </c>
      <c r="B688" t="str">
        <f t="shared" si="122"/>
        <v>161102</v>
      </c>
      <c r="C688" t="str">
        <f t="shared" si="123"/>
        <v>gm. Jemielnica</v>
      </c>
      <c r="D688" t="str">
        <f t="shared" si="121"/>
        <v>strzelecki</v>
      </c>
      <c r="E688" t="str">
        <f t="shared" si="115"/>
        <v>opolskie</v>
      </c>
      <c r="F688">
        <v>5</v>
      </c>
      <c r="G688" t="str">
        <f>"Świetlica Wiejska, ul. Wiejska 65, Barut"</f>
        <v>Świetlica Wiejska, ul. Wiejska 65, Barut</v>
      </c>
      <c r="H688">
        <v>453</v>
      </c>
      <c r="I688">
        <v>478</v>
      </c>
      <c r="J688">
        <v>134</v>
      </c>
      <c r="K688">
        <v>0</v>
      </c>
      <c r="L688">
        <v>344</v>
      </c>
      <c r="M688">
        <v>134</v>
      </c>
      <c r="N688">
        <v>134</v>
      </c>
      <c r="O688">
        <v>0</v>
      </c>
      <c r="P688">
        <v>51</v>
      </c>
      <c r="Q688">
        <v>83</v>
      </c>
    </row>
    <row r="689" spans="1:17" ht="14.25">
      <c r="A689">
        <v>685</v>
      </c>
      <c r="B689" t="str">
        <f t="shared" si="122"/>
        <v>161102</v>
      </c>
      <c r="C689" t="str">
        <f t="shared" si="123"/>
        <v>gm. Jemielnica</v>
      </c>
      <c r="D689" t="str">
        <f t="shared" si="121"/>
        <v>strzelecki</v>
      </c>
      <c r="E689" t="str">
        <f t="shared" si="115"/>
        <v>opolskie</v>
      </c>
      <c r="F689">
        <v>6</v>
      </c>
      <c r="G689" t="str">
        <f>"Świetlica Wiejska, ul. Szkolna 17, Gąsiorowice"</f>
        <v>Świetlica Wiejska, ul. Szkolna 17, Gąsiorowice</v>
      </c>
      <c r="H689">
        <v>557</v>
      </c>
      <c r="I689">
        <v>579</v>
      </c>
      <c r="J689">
        <v>176</v>
      </c>
      <c r="K689">
        <v>0</v>
      </c>
      <c r="L689">
        <v>403</v>
      </c>
      <c r="M689">
        <v>176</v>
      </c>
      <c r="N689">
        <v>174</v>
      </c>
      <c r="O689">
        <v>2</v>
      </c>
      <c r="P689">
        <v>48</v>
      </c>
      <c r="Q689">
        <v>126</v>
      </c>
    </row>
    <row r="690" spans="1:17" ht="14.25">
      <c r="A690">
        <v>686</v>
      </c>
      <c r="B690" t="str">
        <f t="shared" si="122"/>
        <v>161102</v>
      </c>
      <c r="C690" t="str">
        <f t="shared" si="123"/>
        <v>gm. Jemielnica</v>
      </c>
      <c r="D690" t="str">
        <f t="shared" si="121"/>
        <v>strzelecki</v>
      </c>
      <c r="E690" t="str">
        <f t="shared" si="115"/>
        <v>opolskie</v>
      </c>
      <c r="F690">
        <v>7</v>
      </c>
      <c r="G690" t="str">
        <f>"Świetlica Wiejska, ul. Strzelecka 37, Łaziska"</f>
        <v>Świetlica Wiejska, ul. Strzelecka 37, Łaziska</v>
      </c>
      <c r="H690">
        <v>508</v>
      </c>
      <c r="I690">
        <v>585</v>
      </c>
      <c r="J690">
        <v>179</v>
      </c>
      <c r="K690">
        <v>0</v>
      </c>
      <c r="L690">
        <v>406</v>
      </c>
      <c r="M690">
        <v>179</v>
      </c>
      <c r="N690">
        <v>177</v>
      </c>
      <c r="O690">
        <v>2</v>
      </c>
      <c r="P690">
        <v>80</v>
      </c>
      <c r="Q690">
        <v>97</v>
      </c>
    </row>
    <row r="691" spans="1:17" ht="14.25">
      <c r="A691">
        <v>687</v>
      </c>
      <c r="B691" t="str">
        <f aca="true" t="shared" si="124" ref="B691:B696">"161103"</f>
        <v>161103</v>
      </c>
      <c r="C691" t="str">
        <f aca="true" t="shared" si="125" ref="C691:C696">"gm. Kolonowskie"</f>
        <v>gm. Kolonowskie</v>
      </c>
      <c r="D691" t="str">
        <f t="shared" si="121"/>
        <v>strzelecki</v>
      </c>
      <c r="E691" t="str">
        <f t="shared" si="115"/>
        <v>opolskie</v>
      </c>
      <c r="F691">
        <v>1</v>
      </c>
      <c r="G691" t="str">
        <f>"Szkoła Podstawowa, ul. 1Maja 5, Kolonowskie"</f>
        <v>Szkoła Podstawowa, ul. 1Maja 5, Kolonowskie</v>
      </c>
      <c r="H691">
        <v>964</v>
      </c>
      <c r="I691">
        <v>880</v>
      </c>
      <c r="J691">
        <v>394</v>
      </c>
      <c r="K691">
        <v>0</v>
      </c>
      <c r="L691">
        <v>486</v>
      </c>
      <c r="M691">
        <v>394</v>
      </c>
      <c r="N691">
        <v>390</v>
      </c>
      <c r="O691">
        <v>4</v>
      </c>
      <c r="P691">
        <v>109</v>
      </c>
      <c r="Q691">
        <v>281</v>
      </c>
    </row>
    <row r="692" spans="1:17" ht="14.25">
      <c r="A692">
        <v>688</v>
      </c>
      <c r="B692" t="str">
        <f t="shared" si="124"/>
        <v>161103</v>
      </c>
      <c r="C692" t="str">
        <f t="shared" si="125"/>
        <v>gm. Kolonowskie</v>
      </c>
      <c r="D692" t="str">
        <f t="shared" si="121"/>
        <v>strzelecki</v>
      </c>
      <c r="E692" t="str">
        <f t="shared" si="115"/>
        <v>opolskie</v>
      </c>
      <c r="F692">
        <v>2</v>
      </c>
      <c r="G692" t="str">
        <f>"Świetlica OSP, ul. Leśna 6b, Kolonowskie"</f>
        <v>Świetlica OSP, ul. Leśna 6b, Kolonowskie</v>
      </c>
      <c r="H692">
        <v>1009</v>
      </c>
      <c r="I692">
        <v>961</v>
      </c>
      <c r="J692">
        <v>329</v>
      </c>
      <c r="K692">
        <v>0</v>
      </c>
      <c r="L692">
        <v>632</v>
      </c>
      <c r="M692">
        <v>328</v>
      </c>
      <c r="N692">
        <v>323</v>
      </c>
      <c r="O692">
        <v>5</v>
      </c>
      <c r="P692">
        <v>100</v>
      </c>
      <c r="Q692">
        <v>223</v>
      </c>
    </row>
    <row r="693" spans="1:17" ht="14.25">
      <c r="A693">
        <v>689</v>
      </c>
      <c r="B693" t="str">
        <f t="shared" si="124"/>
        <v>161103</v>
      </c>
      <c r="C693" t="str">
        <f t="shared" si="125"/>
        <v>gm. Kolonowskie</v>
      </c>
      <c r="D693" t="str">
        <f t="shared" si="121"/>
        <v>strzelecki</v>
      </c>
      <c r="E693" t="str">
        <f t="shared" si="115"/>
        <v>opolskie</v>
      </c>
      <c r="F693">
        <v>3</v>
      </c>
      <c r="G693" t="str">
        <f>"Szkoła Podstawowa, ul. Jana Pawła II 4, Kolonowskie"</f>
        <v>Szkoła Podstawowa, ul. Jana Pawła II 4, Kolonowskie</v>
      </c>
      <c r="H693">
        <v>869</v>
      </c>
      <c r="I693">
        <v>800</v>
      </c>
      <c r="J693">
        <v>324</v>
      </c>
      <c r="K693">
        <v>0</v>
      </c>
      <c r="L693">
        <v>476</v>
      </c>
      <c r="M693">
        <v>324</v>
      </c>
      <c r="N693">
        <v>321</v>
      </c>
      <c r="O693">
        <v>3</v>
      </c>
      <c r="P693">
        <v>88</v>
      </c>
      <c r="Q693">
        <v>233</v>
      </c>
    </row>
    <row r="694" spans="1:17" ht="14.25">
      <c r="A694">
        <v>690</v>
      </c>
      <c r="B694" t="str">
        <f t="shared" si="124"/>
        <v>161103</v>
      </c>
      <c r="C694" t="str">
        <f t="shared" si="125"/>
        <v>gm. Kolonowskie</v>
      </c>
      <c r="D694" t="str">
        <f t="shared" si="121"/>
        <v>strzelecki</v>
      </c>
      <c r="E694" t="str">
        <f t="shared" si="115"/>
        <v>opolskie</v>
      </c>
      <c r="F694">
        <v>4</v>
      </c>
      <c r="G694" t="str">
        <f>"Dom Aktywności Wiejskiej, ul. Guznera 3, Spórok"</f>
        <v>Dom Aktywności Wiejskiej, ul. Guznera 3, Spórok</v>
      </c>
      <c r="H694">
        <v>504</v>
      </c>
      <c r="I694">
        <v>479</v>
      </c>
      <c r="J694">
        <v>152</v>
      </c>
      <c r="K694">
        <v>0</v>
      </c>
      <c r="L694">
        <v>327</v>
      </c>
      <c r="M694">
        <v>152</v>
      </c>
      <c r="N694">
        <v>150</v>
      </c>
      <c r="O694">
        <v>2</v>
      </c>
      <c r="P694">
        <v>45</v>
      </c>
      <c r="Q694">
        <v>105</v>
      </c>
    </row>
    <row r="695" spans="1:17" ht="14.25">
      <c r="A695">
        <v>691</v>
      </c>
      <c r="B695" t="str">
        <f t="shared" si="124"/>
        <v>161103</v>
      </c>
      <c r="C695" t="str">
        <f t="shared" si="125"/>
        <v>gm. Kolonowskie</v>
      </c>
      <c r="D695" t="str">
        <f t="shared" si="121"/>
        <v>strzelecki</v>
      </c>
      <c r="E695" t="str">
        <f t="shared" si="115"/>
        <v>opolskie</v>
      </c>
      <c r="F695">
        <v>5</v>
      </c>
      <c r="G695" t="str">
        <f>"Szkoła Podstawowa, ul. Szkolna 1, Staniszcze Małe"</f>
        <v>Szkoła Podstawowa, ul. Szkolna 1, Staniszcze Małe</v>
      </c>
      <c r="H695">
        <v>920</v>
      </c>
      <c r="I695">
        <v>880</v>
      </c>
      <c r="J695">
        <v>322</v>
      </c>
      <c r="K695">
        <v>0</v>
      </c>
      <c r="L695">
        <v>558</v>
      </c>
      <c r="M695">
        <v>322</v>
      </c>
      <c r="N695">
        <v>314</v>
      </c>
      <c r="O695">
        <v>8</v>
      </c>
      <c r="P695">
        <v>109</v>
      </c>
      <c r="Q695">
        <v>205</v>
      </c>
    </row>
    <row r="696" spans="1:17" ht="14.25">
      <c r="A696">
        <v>692</v>
      </c>
      <c r="B696" t="str">
        <f t="shared" si="124"/>
        <v>161103</v>
      </c>
      <c r="C696" t="str">
        <f t="shared" si="125"/>
        <v>gm. Kolonowskie</v>
      </c>
      <c r="D696" t="str">
        <f t="shared" si="121"/>
        <v>strzelecki</v>
      </c>
      <c r="E696" t="str">
        <f t="shared" si="115"/>
        <v>opolskie</v>
      </c>
      <c r="F696">
        <v>6</v>
      </c>
      <c r="G696" t="str">
        <f>"Publiczne Przedszkole, ul. Kościelna 15, Staniszcze Wielkie"</f>
        <v>Publiczne Przedszkole, ul. Kościelna 15, Staniszcze Wielkie</v>
      </c>
      <c r="H696">
        <v>907</v>
      </c>
      <c r="I696">
        <v>800</v>
      </c>
      <c r="J696">
        <v>296</v>
      </c>
      <c r="K696">
        <v>0</v>
      </c>
      <c r="L696">
        <v>504</v>
      </c>
      <c r="M696">
        <v>296</v>
      </c>
      <c r="N696">
        <v>288</v>
      </c>
      <c r="O696">
        <v>8</v>
      </c>
      <c r="P696">
        <v>78</v>
      </c>
      <c r="Q696">
        <v>210</v>
      </c>
    </row>
    <row r="697" spans="1:17" ht="14.25">
      <c r="A697">
        <v>693</v>
      </c>
      <c r="B697" t="str">
        <f aca="true" t="shared" si="126" ref="B697:B704">"161104"</f>
        <v>161104</v>
      </c>
      <c r="C697" t="str">
        <f aca="true" t="shared" si="127" ref="C697:C704">"gm. Leśnica"</f>
        <v>gm. Leśnica</v>
      </c>
      <c r="D697" t="str">
        <f t="shared" si="121"/>
        <v>strzelecki</v>
      </c>
      <c r="E697" t="str">
        <f t="shared" si="115"/>
        <v>opolskie</v>
      </c>
      <c r="F697">
        <v>1</v>
      </c>
      <c r="G697" t="str">
        <f>"Urząd Miejski, ul. 1 Maja 9, Leśnica"</f>
        <v>Urząd Miejski, ul. 1 Maja 9, Leśnica</v>
      </c>
      <c r="H697">
        <v>1443</v>
      </c>
      <c r="I697">
        <v>1277</v>
      </c>
      <c r="J697">
        <v>644</v>
      </c>
      <c r="K697">
        <v>1</v>
      </c>
      <c r="L697">
        <v>633</v>
      </c>
      <c r="M697">
        <v>644</v>
      </c>
      <c r="N697">
        <v>635</v>
      </c>
      <c r="O697">
        <v>9</v>
      </c>
      <c r="P697">
        <v>228</v>
      </c>
      <c r="Q697">
        <v>407</v>
      </c>
    </row>
    <row r="698" spans="1:17" ht="14.25">
      <c r="A698">
        <v>694</v>
      </c>
      <c r="B698" t="str">
        <f t="shared" si="126"/>
        <v>161104</v>
      </c>
      <c r="C698" t="str">
        <f t="shared" si="127"/>
        <v>gm. Leśnica</v>
      </c>
      <c r="D698" t="str">
        <f t="shared" si="121"/>
        <v>strzelecki</v>
      </c>
      <c r="E698" t="str">
        <f t="shared" si="115"/>
        <v>opolskie</v>
      </c>
      <c r="F698">
        <v>2</v>
      </c>
      <c r="G698" t="str">
        <f>"Szkoła Podstawowa, ul. Zdzieszowicka 23, Leśnica"</f>
        <v>Szkoła Podstawowa, ul. Zdzieszowicka 23, Leśnica</v>
      </c>
      <c r="H698">
        <v>986</v>
      </c>
      <c r="I698">
        <v>880</v>
      </c>
      <c r="J698">
        <v>438</v>
      </c>
      <c r="K698">
        <v>0</v>
      </c>
      <c r="L698">
        <v>442</v>
      </c>
      <c r="M698">
        <v>438</v>
      </c>
      <c r="N698">
        <v>432</v>
      </c>
      <c r="O698">
        <v>6</v>
      </c>
      <c r="P698">
        <v>177</v>
      </c>
      <c r="Q698">
        <v>255</v>
      </c>
    </row>
    <row r="699" spans="1:17" ht="14.25">
      <c r="A699">
        <v>695</v>
      </c>
      <c r="B699" t="str">
        <f t="shared" si="126"/>
        <v>161104</v>
      </c>
      <c r="C699" t="str">
        <f t="shared" si="127"/>
        <v>gm. Leśnica</v>
      </c>
      <c r="D699" t="str">
        <f t="shared" si="121"/>
        <v>strzelecki</v>
      </c>
      <c r="E699" t="str">
        <f t="shared" si="115"/>
        <v>opolskie</v>
      </c>
      <c r="F699">
        <v>3</v>
      </c>
      <c r="G699" t="str">
        <f>"Remiza OSP, ul. Strzelecka 67, Wysoka"</f>
        <v>Remiza OSP, ul. Strzelecka 67, Wysoka</v>
      </c>
      <c r="H699">
        <v>828</v>
      </c>
      <c r="I699">
        <v>721</v>
      </c>
      <c r="J699">
        <v>438</v>
      </c>
      <c r="K699">
        <v>0</v>
      </c>
      <c r="L699">
        <v>283</v>
      </c>
      <c r="M699">
        <v>438</v>
      </c>
      <c r="N699">
        <v>432</v>
      </c>
      <c r="O699">
        <v>6</v>
      </c>
      <c r="P699">
        <v>206</v>
      </c>
      <c r="Q699">
        <v>226</v>
      </c>
    </row>
    <row r="700" spans="1:17" ht="14.25">
      <c r="A700">
        <v>696</v>
      </c>
      <c r="B700" t="str">
        <f t="shared" si="126"/>
        <v>161104</v>
      </c>
      <c r="C700" t="str">
        <f t="shared" si="127"/>
        <v>gm. Leśnica</v>
      </c>
      <c r="D700" t="str">
        <f t="shared" si="121"/>
        <v>strzelecki</v>
      </c>
      <c r="E700" t="str">
        <f t="shared" si="115"/>
        <v>opolskie</v>
      </c>
      <c r="F700">
        <v>4</v>
      </c>
      <c r="G700" t="str">
        <f>"Publiczne Przedszkole w Leśnicy, Oddział Zamiejscowy w Dolnej, ul. Wiejska 30, Dolna"</f>
        <v>Publiczne Przedszkole w Leśnicy, Oddział Zamiejscowy w Dolnej, ul. Wiejska 30, Dolna</v>
      </c>
      <c r="H700">
        <v>406</v>
      </c>
      <c r="I700">
        <v>400</v>
      </c>
      <c r="J700">
        <v>141</v>
      </c>
      <c r="K700">
        <v>0</v>
      </c>
      <c r="L700">
        <v>259</v>
      </c>
      <c r="M700">
        <v>141</v>
      </c>
      <c r="N700">
        <v>139</v>
      </c>
      <c r="O700">
        <v>2</v>
      </c>
      <c r="P700">
        <v>49</v>
      </c>
      <c r="Q700">
        <v>90</v>
      </c>
    </row>
    <row r="701" spans="1:17" ht="14.25">
      <c r="A701">
        <v>697</v>
      </c>
      <c r="B701" t="str">
        <f t="shared" si="126"/>
        <v>161104</v>
      </c>
      <c r="C701" t="str">
        <f t="shared" si="127"/>
        <v>gm. Leśnica</v>
      </c>
      <c r="D701" t="str">
        <f t="shared" si="121"/>
        <v>strzelecki</v>
      </c>
      <c r="E701" t="str">
        <f t="shared" si="115"/>
        <v>opolskie</v>
      </c>
      <c r="F701">
        <v>5</v>
      </c>
      <c r="G701" t="str">
        <f>"Klub Wiejski, ul. Wiejska 93, Kadłubiec"</f>
        <v>Klub Wiejski, ul. Wiejska 93, Kadłubiec</v>
      </c>
      <c r="H701">
        <v>335</v>
      </c>
      <c r="I701">
        <v>324</v>
      </c>
      <c r="J701">
        <v>115</v>
      </c>
      <c r="K701">
        <v>0</v>
      </c>
      <c r="L701">
        <v>209</v>
      </c>
      <c r="M701">
        <v>115</v>
      </c>
      <c r="N701">
        <v>114</v>
      </c>
      <c r="O701">
        <v>1</v>
      </c>
      <c r="P701">
        <v>43</v>
      </c>
      <c r="Q701">
        <v>71</v>
      </c>
    </row>
    <row r="702" spans="1:17" ht="14.25">
      <c r="A702">
        <v>698</v>
      </c>
      <c r="B702" t="str">
        <f t="shared" si="126"/>
        <v>161104</v>
      </c>
      <c r="C702" t="str">
        <f t="shared" si="127"/>
        <v>gm. Leśnica</v>
      </c>
      <c r="D702" t="str">
        <f t="shared" si="121"/>
        <v>strzelecki</v>
      </c>
      <c r="E702" t="str">
        <f t="shared" si="115"/>
        <v>opolskie</v>
      </c>
      <c r="F702">
        <v>6</v>
      </c>
      <c r="G702" t="str">
        <f>"Szkoła Podstawowa, ul. Dworcowa 4, Zalesie Śląskie"</f>
        <v>Szkoła Podstawowa, ul. Dworcowa 4, Zalesie Śląskie</v>
      </c>
      <c r="H702">
        <v>1417</v>
      </c>
      <c r="I702">
        <v>1377</v>
      </c>
      <c r="J702">
        <v>448</v>
      </c>
      <c r="K702">
        <v>0</v>
      </c>
      <c r="L702">
        <v>929</v>
      </c>
      <c r="M702">
        <v>448</v>
      </c>
      <c r="N702">
        <v>436</v>
      </c>
      <c r="O702">
        <v>12</v>
      </c>
      <c r="P702">
        <v>125</v>
      </c>
      <c r="Q702">
        <v>311</v>
      </c>
    </row>
    <row r="703" spans="1:17" ht="14.25">
      <c r="A703">
        <v>699</v>
      </c>
      <c r="B703" t="str">
        <f t="shared" si="126"/>
        <v>161104</v>
      </c>
      <c r="C703" t="str">
        <f t="shared" si="127"/>
        <v>gm. Leśnica</v>
      </c>
      <c r="D703" t="str">
        <f t="shared" si="121"/>
        <v>strzelecki</v>
      </c>
      <c r="E703" t="str">
        <f t="shared" si="115"/>
        <v>opolskie</v>
      </c>
      <c r="F703">
        <v>7</v>
      </c>
      <c r="G703" t="str">
        <f>"Szkoła Podstawowa, ul. Góry Świętej Anny 91, Raszowa"</f>
        <v>Szkoła Podstawowa, ul. Góry Świętej Anny 91, Raszowa</v>
      </c>
      <c r="H703">
        <v>1367</v>
      </c>
      <c r="I703">
        <v>1274</v>
      </c>
      <c r="J703">
        <v>466</v>
      </c>
      <c r="K703">
        <v>0</v>
      </c>
      <c r="L703">
        <v>808</v>
      </c>
      <c r="M703">
        <v>466</v>
      </c>
      <c r="N703">
        <v>460</v>
      </c>
      <c r="O703">
        <v>6</v>
      </c>
      <c r="P703">
        <v>119</v>
      </c>
      <c r="Q703">
        <v>341</v>
      </c>
    </row>
    <row r="704" spans="1:17" ht="14.25">
      <c r="A704">
        <v>700</v>
      </c>
      <c r="B704" t="str">
        <f t="shared" si="126"/>
        <v>161104</v>
      </c>
      <c r="C704" t="str">
        <f t="shared" si="127"/>
        <v>gm. Leśnica</v>
      </c>
      <c r="D704" t="str">
        <f t="shared" si="121"/>
        <v>strzelecki</v>
      </c>
      <c r="E704" t="str">
        <f t="shared" si="115"/>
        <v>opolskie</v>
      </c>
      <c r="F704">
        <v>8</v>
      </c>
      <c r="G704" t="str">
        <f>"Dom Pomocy Społecznej w Strzelcach Opolskich - Filia w Leśnicy, ul. Szpitalna 20, Leśnica"</f>
        <v>Dom Pomocy Społecznej w Strzelcach Opolskich - Filia w Leśnicy, ul. Szpitalna 20, Leśnica</v>
      </c>
      <c r="H704">
        <v>60</v>
      </c>
      <c r="I704">
        <v>98</v>
      </c>
      <c r="J704">
        <v>34</v>
      </c>
      <c r="K704">
        <v>0</v>
      </c>
      <c r="L704">
        <v>64</v>
      </c>
      <c r="M704">
        <v>34</v>
      </c>
      <c r="N704">
        <v>27</v>
      </c>
      <c r="O704">
        <v>7</v>
      </c>
      <c r="P704">
        <v>11</v>
      </c>
      <c r="Q704">
        <v>16</v>
      </c>
    </row>
    <row r="705" spans="1:17" ht="14.25">
      <c r="A705">
        <v>701</v>
      </c>
      <c r="B705" t="str">
        <f aca="true" t="shared" si="128" ref="B705:B733">"161105"</f>
        <v>161105</v>
      </c>
      <c r="C705" t="str">
        <f aca="true" t="shared" si="129" ref="C705:C733">"gm. Strzelce Opolskie"</f>
        <v>gm. Strzelce Opolskie</v>
      </c>
      <c r="D705" t="str">
        <f t="shared" si="121"/>
        <v>strzelecki</v>
      </c>
      <c r="E705" t="str">
        <f t="shared" si="115"/>
        <v>opolskie</v>
      </c>
      <c r="F705">
        <v>1</v>
      </c>
      <c r="G705" t="str">
        <f>"Publiczna Szkoła Podstawowa Nr 1, ul. Marka Prawego 19, Strzelce Opolskie"</f>
        <v>Publiczna Szkoła Podstawowa Nr 1, ul. Marka Prawego 19, Strzelce Opolskie</v>
      </c>
      <c r="H705">
        <v>1536</v>
      </c>
      <c r="I705">
        <v>1440</v>
      </c>
      <c r="J705">
        <v>794</v>
      </c>
      <c r="K705">
        <v>0</v>
      </c>
      <c r="L705">
        <v>646</v>
      </c>
      <c r="M705">
        <v>794</v>
      </c>
      <c r="N705">
        <v>789</v>
      </c>
      <c r="O705">
        <v>5</v>
      </c>
      <c r="P705">
        <v>212</v>
      </c>
      <c r="Q705">
        <v>577</v>
      </c>
    </row>
    <row r="706" spans="1:17" ht="14.25">
      <c r="A706">
        <v>702</v>
      </c>
      <c r="B706" t="str">
        <f t="shared" si="128"/>
        <v>161105</v>
      </c>
      <c r="C706" t="str">
        <f t="shared" si="129"/>
        <v>gm. Strzelce Opolskie</v>
      </c>
      <c r="D706" t="str">
        <f t="shared" si="121"/>
        <v>strzelecki</v>
      </c>
      <c r="E706" t="str">
        <f t="shared" si="115"/>
        <v>opolskie</v>
      </c>
      <c r="F706">
        <v>2</v>
      </c>
      <c r="G706" t="str">
        <f>"Strzelecki Ośrodek Kultury, ul. Plac Stefana Żeromskiego 7, Strzelce Opolskie"</f>
        <v>Strzelecki Ośrodek Kultury, ul. Plac Stefana Żeromskiego 7, Strzelce Opolskie</v>
      </c>
      <c r="H706">
        <v>1344</v>
      </c>
      <c r="I706">
        <v>1279</v>
      </c>
      <c r="J706">
        <v>610</v>
      </c>
      <c r="K706">
        <v>0</v>
      </c>
      <c r="L706">
        <v>669</v>
      </c>
      <c r="M706">
        <v>609</v>
      </c>
      <c r="N706">
        <v>604</v>
      </c>
      <c r="O706">
        <v>5</v>
      </c>
      <c r="P706">
        <v>167</v>
      </c>
      <c r="Q706">
        <v>437</v>
      </c>
    </row>
    <row r="707" spans="1:17" ht="14.25">
      <c r="A707">
        <v>703</v>
      </c>
      <c r="B707" t="str">
        <f t="shared" si="128"/>
        <v>161105</v>
      </c>
      <c r="C707" t="str">
        <f t="shared" si="129"/>
        <v>gm. Strzelce Opolskie</v>
      </c>
      <c r="D707" t="str">
        <f t="shared" si="121"/>
        <v>strzelecki</v>
      </c>
      <c r="E707" t="str">
        <f t="shared" si="115"/>
        <v>opolskie</v>
      </c>
      <c r="F707">
        <v>3</v>
      </c>
      <c r="G707" t="str">
        <f>"Zespół Szkół Ogólnokształcących, ul. Krakowska 38, Strzelce Opolskie"</f>
        <v>Zespół Szkół Ogólnokształcących, ul. Krakowska 38, Strzelce Opolskie</v>
      </c>
      <c r="H707">
        <v>1945</v>
      </c>
      <c r="I707">
        <v>1840</v>
      </c>
      <c r="J707">
        <v>1052</v>
      </c>
      <c r="K707">
        <v>0</v>
      </c>
      <c r="L707">
        <v>788</v>
      </c>
      <c r="M707">
        <v>1051</v>
      </c>
      <c r="N707">
        <v>1035</v>
      </c>
      <c r="O707">
        <v>16</v>
      </c>
      <c r="P707">
        <v>263</v>
      </c>
      <c r="Q707">
        <v>772</v>
      </c>
    </row>
    <row r="708" spans="1:17" ht="14.25">
      <c r="A708">
        <v>704</v>
      </c>
      <c r="B708" t="str">
        <f t="shared" si="128"/>
        <v>161105</v>
      </c>
      <c r="C708" t="str">
        <f t="shared" si="129"/>
        <v>gm. Strzelce Opolskie</v>
      </c>
      <c r="D708" t="str">
        <f t="shared" si="121"/>
        <v>strzelecki</v>
      </c>
      <c r="E708" t="str">
        <f t="shared" si="115"/>
        <v>opolskie</v>
      </c>
      <c r="F708">
        <v>4</v>
      </c>
      <c r="G708" t="str">
        <f>"Publiczna Szkoła Podstawowa Nr 7, ul. Kardynała Stefana Wyszyńskiego 2, Strzelce Opolskie"</f>
        <v>Publiczna Szkoła Podstawowa Nr 7, ul. Kardynała Stefana Wyszyńskiego 2, Strzelce Opolskie</v>
      </c>
      <c r="H708">
        <v>2027</v>
      </c>
      <c r="I708">
        <v>1919</v>
      </c>
      <c r="J708">
        <v>1074</v>
      </c>
      <c r="K708">
        <v>0</v>
      </c>
      <c r="L708">
        <v>845</v>
      </c>
      <c r="M708">
        <v>1074</v>
      </c>
      <c r="N708">
        <v>1064</v>
      </c>
      <c r="O708">
        <v>10</v>
      </c>
      <c r="P708">
        <v>271</v>
      </c>
      <c r="Q708">
        <v>793</v>
      </c>
    </row>
    <row r="709" spans="1:17" ht="14.25">
      <c r="A709">
        <v>705</v>
      </c>
      <c r="B709" t="str">
        <f t="shared" si="128"/>
        <v>161105</v>
      </c>
      <c r="C709" t="str">
        <f t="shared" si="129"/>
        <v>gm. Strzelce Opolskie</v>
      </c>
      <c r="D709" t="str">
        <f t="shared" si="121"/>
        <v>strzelecki</v>
      </c>
      <c r="E709" t="str">
        <f aca="true" t="shared" si="130" ref="E709:E772">"opolskie"</f>
        <v>opolskie</v>
      </c>
      <c r="F709">
        <v>5</v>
      </c>
      <c r="G709" t="str">
        <f>"Przedszkole Publiczne Nr 9 - Oddział dzieci do lat 3, ul. Kardynała Stefana Wyszyńskiego 14, Strzelce Opolskie"</f>
        <v>Przedszkole Publiczne Nr 9 - Oddział dzieci do lat 3, ul. Kardynała Stefana Wyszyńskiego 14, Strzelce Opolskie</v>
      </c>
      <c r="H709">
        <v>1756</v>
      </c>
      <c r="I709">
        <v>1680</v>
      </c>
      <c r="J709">
        <v>897</v>
      </c>
      <c r="K709">
        <v>0</v>
      </c>
      <c r="L709">
        <v>783</v>
      </c>
      <c r="M709">
        <v>897</v>
      </c>
      <c r="N709">
        <v>888</v>
      </c>
      <c r="O709">
        <v>9</v>
      </c>
      <c r="P709">
        <v>283</v>
      </c>
      <c r="Q709">
        <v>605</v>
      </c>
    </row>
    <row r="710" spans="1:17" ht="14.25">
      <c r="A710">
        <v>706</v>
      </c>
      <c r="B710" t="str">
        <f t="shared" si="128"/>
        <v>161105</v>
      </c>
      <c r="C710" t="str">
        <f t="shared" si="129"/>
        <v>gm. Strzelce Opolskie</v>
      </c>
      <c r="D710" t="str">
        <f t="shared" si="121"/>
        <v>strzelecki</v>
      </c>
      <c r="E710" t="str">
        <f t="shared" si="130"/>
        <v>opolskie</v>
      </c>
      <c r="F710">
        <v>6</v>
      </c>
      <c r="G710" t="str">
        <f>"Przedszkole Publiczne Nr 9, ul. Kardynała Stefana Wyszyńskiego 12, Strzelce Opolskie"</f>
        <v>Przedszkole Publiczne Nr 9, ul. Kardynała Stefana Wyszyńskiego 12, Strzelce Opolskie</v>
      </c>
      <c r="H710">
        <v>1690</v>
      </c>
      <c r="I710">
        <v>1600</v>
      </c>
      <c r="J710">
        <v>731</v>
      </c>
      <c r="K710">
        <v>0</v>
      </c>
      <c r="L710">
        <v>869</v>
      </c>
      <c r="M710">
        <v>731</v>
      </c>
      <c r="N710">
        <v>728</v>
      </c>
      <c r="O710">
        <v>3</v>
      </c>
      <c r="P710">
        <v>226</v>
      </c>
      <c r="Q710">
        <v>502</v>
      </c>
    </row>
    <row r="711" spans="1:17" ht="14.25">
      <c r="A711">
        <v>707</v>
      </c>
      <c r="B711" t="str">
        <f t="shared" si="128"/>
        <v>161105</v>
      </c>
      <c r="C711" t="str">
        <f t="shared" si="129"/>
        <v>gm. Strzelce Opolskie</v>
      </c>
      <c r="D711" t="str">
        <f aca="true" t="shared" si="131" ref="D711:D746">"strzelecki"</f>
        <v>strzelecki</v>
      </c>
      <c r="E711" t="str">
        <f t="shared" si="130"/>
        <v>opolskie</v>
      </c>
      <c r="F711">
        <v>7</v>
      </c>
      <c r="G711" t="str">
        <f>"Publiczne Gimnazjum Nr 2, ul. Kozielska 34, Strzelce Opolskie"</f>
        <v>Publiczne Gimnazjum Nr 2, ul. Kozielska 34, Strzelce Opolskie</v>
      </c>
      <c r="H711">
        <v>908</v>
      </c>
      <c r="I711">
        <v>880</v>
      </c>
      <c r="J711">
        <v>376</v>
      </c>
      <c r="K711">
        <v>0</v>
      </c>
      <c r="L711">
        <v>504</v>
      </c>
      <c r="M711">
        <v>376</v>
      </c>
      <c r="N711">
        <v>371</v>
      </c>
      <c r="O711">
        <v>5</v>
      </c>
      <c r="P711">
        <v>105</v>
      </c>
      <c r="Q711">
        <v>266</v>
      </c>
    </row>
    <row r="712" spans="1:17" ht="14.25">
      <c r="A712">
        <v>708</v>
      </c>
      <c r="B712" t="str">
        <f t="shared" si="128"/>
        <v>161105</v>
      </c>
      <c r="C712" t="str">
        <f t="shared" si="129"/>
        <v>gm. Strzelce Opolskie</v>
      </c>
      <c r="D712" t="str">
        <f t="shared" si="131"/>
        <v>strzelecki</v>
      </c>
      <c r="E712" t="str">
        <f t="shared" si="130"/>
        <v>opolskie</v>
      </c>
      <c r="F712">
        <v>8</v>
      </c>
      <c r="G712" t="str">
        <f>"Publiczna Szkoła Podstawowa Nr 2, ul. Wawrzyńca Świerzego 3, Strzelce Opolskie"</f>
        <v>Publiczna Szkoła Podstawowa Nr 2, ul. Wawrzyńca Świerzego 3, Strzelce Opolskie</v>
      </c>
      <c r="H712">
        <v>929</v>
      </c>
      <c r="I712">
        <v>880</v>
      </c>
      <c r="J712">
        <v>383</v>
      </c>
      <c r="K712">
        <v>0</v>
      </c>
      <c r="L712">
        <v>497</v>
      </c>
      <c r="M712">
        <v>383</v>
      </c>
      <c r="N712">
        <v>381</v>
      </c>
      <c r="O712">
        <v>2</v>
      </c>
      <c r="P712">
        <v>83</v>
      </c>
      <c r="Q712">
        <v>298</v>
      </c>
    </row>
    <row r="713" spans="1:17" ht="14.25">
      <c r="A713">
        <v>709</v>
      </c>
      <c r="B713" t="str">
        <f t="shared" si="128"/>
        <v>161105</v>
      </c>
      <c r="C713" t="str">
        <f t="shared" si="129"/>
        <v>gm. Strzelce Opolskie</v>
      </c>
      <c r="D713" t="str">
        <f t="shared" si="131"/>
        <v>strzelecki</v>
      </c>
      <c r="E713" t="str">
        <f t="shared" si="130"/>
        <v>opolskie</v>
      </c>
      <c r="F713">
        <v>9</v>
      </c>
      <c r="G713" t="str">
        <f>"Zespół Szkół Zawodowych Nr 1, ul. Powstańców Śląskich 3, Strzelce Opolskie"</f>
        <v>Zespół Szkół Zawodowych Nr 1, ul. Powstańców Śląskich 3, Strzelce Opolskie</v>
      </c>
      <c r="H713">
        <v>805</v>
      </c>
      <c r="I713">
        <v>800</v>
      </c>
      <c r="J713">
        <v>283</v>
      </c>
      <c r="K713">
        <v>0</v>
      </c>
      <c r="L713">
        <v>517</v>
      </c>
      <c r="M713">
        <v>283</v>
      </c>
      <c r="N713">
        <v>267</v>
      </c>
      <c r="O713">
        <v>16</v>
      </c>
      <c r="P713">
        <v>80</v>
      </c>
      <c r="Q713">
        <v>187</v>
      </c>
    </row>
    <row r="714" spans="1:17" ht="14.25">
      <c r="A714">
        <v>710</v>
      </c>
      <c r="B714" t="str">
        <f t="shared" si="128"/>
        <v>161105</v>
      </c>
      <c r="C714" t="str">
        <f t="shared" si="129"/>
        <v>gm. Strzelce Opolskie</v>
      </c>
      <c r="D714" t="str">
        <f t="shared" si="131"/>
        <v>strzelecki</v>
      </c>
      <c r="E714" t="str">
        <f t="shared" si="130"/>
        <v>opolskie</v>
      </c>
      <c r="F714">
        <v>10</v>
      </c>
      <c r="G714" t="str">
        <f>"Publiczne Gimnazjum Nr 1, ul. Sosnowa 3, Strzelce Opolskie"</f>
        <v>Publiczne Gimnazjum Nr 1, ul. Sosnowa 3, Strzelce Opolskie</v>
      </c>
      <c r="H714">
        <v>2297</v>
      </c>
      <c r="I714">
        <v>2169</v>
      </c>
      <c r="J714">
        <v>1064</v>
      </c>
      <c r="K714">
        <v>0</v>
      </c>
      <c r="L714">
        <v>1105</v>
      </c>
      <c r="M714">
        <v>1064</v>
      </c>
      <c r="N714">
        <v>1055</v>
      </c>
      <c r="O714">
        <v>9</v>
      </c>
      <c r="P714">
        <v>224</v>
      </c>
      <c r="Q714">
        <v>831</v>
      </c>
    </row>
    <row r="715" spans="1:17" ht="14.25">
      <c r="A715">
        <v>711</v>
      </c>
      <c r="B715" t="str">
        <f t="shared" si="128"/>
        <v>161105</v>
      </c>
      <c r="C715" t="str">
        <f t="shared" si="129"/>
        <v>gm. Strzelce Opolskie</v>
      </c>
      <c r="D715" t="str">
        <f t="shared" si="131"/>
        <v>strzelecki</v>
      </c>
      <c r="E715" t="str">
        <f t="shared" si="130"/>
        <v>opolskie</v>
      </c>
      <c r="F715">
        <v>11</v>
      </c>
      <c r="G715" t="str">
        <f>"Świetlica Wiejska, ul. Strzelecka 101, Szczepanek"</f>
        <v>Świetlica Wiejska, ul. Strzelecka 101, Szczepanek</v>
      </c>
      <c r="H715">
        <v>571</v>
      </c>
      <c r="I715">
        <v>583</v>
      </c>
      <c r="J715">
        <v>251</v>
      </c>
      <c r="K715">
        <v>0</v>
      </c>
      <c r="L715">
        <v>332</v>
      </c>
      <c r="M715">
        <v>251</v>
      </c>
      <c r="N715">
        <v>250</v>
      </c>
      <c r="O715">
        <v>1</v>
      </c>
      <c r="P715">
        <v>67</v>
      </c>
      <c r="Q715">
        <v>183</v>
      </c>
    </row>
    <row r="716" spans="1:17" ht="14.25">
      <c r="A716">
        <v>712</v>
      </c>
      <c r="B716" t="str">
        <f t="shared" si="128"/>
        <v>161105</v>
      </c>
      <c r="C716" t="str">
        <f t="shared" si="129"/>
        <v>gm. Strzelce Opolskie</v>
      </c>
      <c r="D716" t="str">
        <f t="shared" si="131"/>
        <v>strzelecki</v>
      </c>
      <c r="E716" t="str">
        <f t="shared" si="130"/>
        <v>opolskie</v>
      </c>
      <c r="F716">
        <v>12</v>
      </c>
      <c r="G716" t="str">
        <f>"Zespół Placówek Oświatowych w Kadłubie-Publiczna Szkoła Podstawowa, ul. Powstańców Śląskich 26, Kadłub"</f>
        <v>Zespół Placówek Oświatowych w Kadłubie-Publiczna Szkoła Podstawowa, ul. Powstańców Śląskich 26, Kadłub</v>
      </c>
      <c r="H716">
        <v>1206</v>
      </c>
      <c r="I716">
        <v>1120</v>
      </c>
      <c r="J716">
        <v>392</v>
      </c>
      <c r="K716">
        <v>0</v>
      </c>
      <c r="L716">
        <v>728</v>
      </c>
      <c r="M716">
        <v>392</v>
      </c>
      <c r="N716">
        <v>385</v>
      </c>
      <c r="O716">
        <v>7</v>
      </c>
      <c r="P716">
        <v>89</v>
      </c>
      <c r="Q716">
        <v>296</v>
      </c>
    </row>
    <row r="717" spans="1:17" ht="14.25">
      <c r="A717">
        <v>713</v>
      </c>
      <c r="B717" t="str">
        <f t="shared" si="128"/>
        <v>161105</v>
      </c>
      <c r="C717" t="str">
        <f t="shared" si="129"/>
        <v>gm. Strzelce Opolskie</v>
      </c>
      <c r="D717" t="str">
        <f t="shared" si="131"/>
        <v>strzelecki</v>
      </c>
      <c r="E717" t="str">
        <f t="shared" si="130"/>
        <v>opolskie</v>
      </c>
      <c r="F717">
        <v>13</v>
      </c>
      <c r="G717" t="str">
        <f>"Publiczna Szkoła Podstawowa, ul. Toszecka 19, Błotnica Strzelecka"</f>
        <v>Publiczna Szkoła Podstawowa, ul. Toszecka 19, Błotnica Strzelecka</v>
      </c>
      <c r="H717">
        <v>982</v>
      </c>
      <c r="I717">
        <v>960</v>
      </c>
      <c r="J717">
        <v>336</v>
      </c>
      <c r="K717">
        <v>0</v>
      </c>
      <c r="L717">
        <v>624</v>
      </c>
      <c r="M717">
        <v>336</v>
      </c>
      <c r="N717">
        <v>331</v>
      </c>
      <c r="O717">
        <v>5</v>
      </c>
      <c r="P717">
        <v>113</v>
      </c>
      <c r="Q717">
        <v>218</v>
      </c>
    </row>
    <row r="718" spans="1:17" ht="14.25">
      <c r="A718">
        <v>714</v>
      </c>
      <c r="B718" t="str">
        <f t="shared" si="128"/>
        <v>161105</v>
      </c>
      <c r="C718" t="str">
        <f t="shared" si="129"/>
        <v>gm. Strzelce Opolskie</v>
      </c>
      <c r="D718" t="str">
        <f t="shared" si="131"/>
        <v>strzelecki</v>
      </c>
      <c r="E718" t="str">
        <f t="shared" si="130"/>
        <v>opolskie</v>
      </c>
      <c r="F718">
        <v>14</v>
      </c>
      <c r="G718" t="str">
        <f>"Publiczna Szkoła Podstawowa, ul. Strzelecka 3, Dziewkowice"</f>
        <v>Publiczna Szkoła Podstawowa, ul. Strzelecka 3, Dziewkowice</v>
      </c>
      <c r="H718">
        <v>1230</v>
      </c>
      <c r="I718">
        <v>1118</v>
      </c>
      <c r="J718">
        <v>460</v>
      </c>
      <c r="K718">
        <v>0</v>
      </c>
      <c r="L718">
        <v>658</v>
      </c>
      <c r="M718">
        <v>460</v>
      </c>
      <c r="N718">
        <v>456</v>
      </c>
      <c r="O718">
        <v>4</v>
      </c>
      <c r="P718">
        <v>129</v>
      </c>
      <c r="Q718">
        <v>327</v>
      </c>
    </row>
    <row r="719" spans="1:17" ht="14.25">
      <c r="A719">
        <v>715</v>
      </c>
      <c r="B719" t="str">
        <f t="shared" si="128"/>
        <v>161105</v>
      </c>
      <c r="C719" t="str">
        <f t="shared" si="129"/>
        <v>gm. Strzelce Opolskie</v>
      </c>
      <c r="D719" t="str">
        <f t="shared" si="131"/>
        <v>strzelecki</v>
      </c>
      <c r="E719" t="str">
        <f t="shared" si="130"/>
        <v>opolskie</v>
      </c>
      <c r="F719">
        <v>15</v>
      </c>
      <c r="G719" t="str">
        <f>"Przedszkole Publiczne w Dziewkowicach - Oddział zamiejscowy, ul. Błotnicka 6, Warmątowice"</f>
        <v>Przedszkole Publiczne w Dziewkowicach - Oddział zamiejscowy, ul. Błotnicka 6, Warmątowice</v>
      </c>
      <c r="H719">
        <v>480</v>
      </c>
      <c r="I719">
        <v>479</v>
      </c>
      <c r="J719">
        <v>157</v>
      </c>
      <c r="K719">
        <v>0</v>
      </c>
      <c r="L719">
        <v>322</v>
      </c>
      <c r="M719">
        <v>157</v>
      </c>
      <c r="N719">
        <v>156</v>
      </c>
      <c r="O719">
        <v>1</v>
      </c>
      <c r="P719">
        <v>34</v>
      </c>
      <c r="Q719">
        <v>122</v>
      </c>
    </row>
    <row r="720" spans="1:17" ht="14.25">
      <c r="A720">
        <v>716</v>
      </c>
      <c r="B720" t="str">
        <f t="shared" si="128"/>
        <v>161105</v>
      </c>
      <c r="C720" t="str">
        <f t="shared" si="129"/>
        <v>gm. Strzelce Opolskie</v>
      </c>
      <c r="D720" t="str">
        <f t="shared" si="131"/>
        <v>strzelecki</v>
      </c>
      <c r="E720" t="str">
        <f t="shared" si="130"/>
        <v>opolskie</v>
      </c>
      <c r="F720">
        <v>16</v>
      </c>
      <c r="G720" t="str">
        <f>"Niepubliczna Szkoła Podstawowa, ul. Główna 35, Grodzisko"</f>
        <v>Niepubliczna Szkoła Podstawowa, ul. Główna 35, Grodzisko</v>
      </c>
      <c r="H720">
        <v>579</v>
      </c>
      <c r="I720">
        <v>579</v>
      </c>
      <c r="J720">
        <v>214</v>
      </c>
      <c r="K720">
        <v>0</v>
      </c>
      <c r="L720">
        <v>365</v>
      </c>
      <c r="M720">
        <v>214</v>
      </c>
      <c r="N720">
        <v>213</v>
      </c>
      <c r="O720">
        <v>1</v>
      </c>
      <c r="P720">
        <v>63</v>
      </c>
      <c r="Q720">
        <v>150</v>
      </c>
    </row>
    <row r="721" spans="1:17" ht="14.25">
      <c r="A721">
        <v>717</v>
      </c>
      <c r="B721" t="str">
        <f t="shared" si="128"/>
        <v>161105</v>
      </c>
      <c r="C721" t="str">
        <f t="shared" si="129"/>
        <v>gm. Strzelce Opolskie</v>
      </c>
      <c r="D721" t="str">
        <f t="shared" si="131"/>
        <v>strzelecki</v>
      </c>
      <c r="E721" t="str">
        <f t="shared" si="130"/>
        <v>opolskie</v>
      </c>
      <c r="F721">
        <v>17</v>
      </c>
      <c r="G721" t="str">
        <f>"Zespół Placówek Oświatowych w Kadłubie - Przedszkole Publiczne, ul. Strzelecka 1, Osiek"</f>
        <v>Zespół Placówek Oświatowych w Kadłubie - Przedszkole Publiczne, ul. Strzelecka 1, Osiek</v>
      </c>
      <c r="H721">
        <v>354</v>
      </c>
      <c r="I721">
        <v>400</v>
      </c>
      <c r="J721">
        <v>124</v>
      </c>
      <c r="K721">
        <v>0</v>
      </c>
      <c r="L721">
        <v>276</v>
      </c>
      <c r="M721">
        <v>124</v>
      </c>
      <c r="N721">
        <v>124</v>
      </c>
      <c r="O721">
        <v>0</v>
      </c>
      <c r="P721">
        <v>38</v>
      </c>
      <c r="Q721">
        <v>86</v>
      </c>
    </row>
    <row r="722" spans="1:17" ht="14.25">
      <c r="A722">
        <v>718</v>
      </c>
      <c r="B722" t="str">
        <f t="shared" si="128"/>
        <v>161105</v>
      </c>
      <c r="C722" t="str">
        <f t="shared" si="129"/>
        <v>gm. Strzelce Opolskie</v>
      </c>
      <c r="D722" t="str">
        <f t="shared" si="131"/>
        <v>strzelecki</v>
      </c>
      <c r="E722" t="str">
        <f t="shared" si="130"/>
        <v>opolskie</v>
      </c>
      <c r="F722">
        <v>18</v>
      </c>
      <c r="G722" t="str">
        <f>"Zespół Placówek Oświatowych w Kalinowicach - Publiczna Szkoła Podstawowa, ul. Szkolna 1, Kalinowice"</f>
        <v>Zespół Placówek Oświatowych w Kalinowicach - Publiczna Szkoła Podstawowa, ul. Szkolna 1, Kalinowice</v>
      </c>
      <c r="H722">
        <v>812</v>
      </c>
      <c r="I722">
        <v>800</v>
      </c>
      <c r="J722">
        <v>279</v>
      </c>
      <c r="K722">
        <v>0</v>
      </c>
      <c r="L722">
        <v>521</v>
      </c>
      <c r="M722">
        <v>279</v>
      </c>
      <c r="N722">
        <v>277</v>
      </c>
      <c r="O722">
        <v>2</v>
      </c>
      <c r="P722">
        <v>80</v>
      </c>
      <c r="Q722">
        <v>197</v>
      </c>
    </row>
    <row r="723" spans="1:17" ht="14.25">
      <c r="A723">
        <v>719</v>
      </c>
      <c r="B723" t="str">
        <f t="shared" si="128"/>
        <v>161105</v>
      </c>
      <c r="C723" t="str">
        <f t="shared" si="129"/>
        <v>gm. Strzelce Opolskie</v>
      </c>
      <c r="D723" t="str">
        <f t="shared" si="131"/>
        <v>strzelecki</v>
      </c>
      <c r="E723" t="str">
        <f t="shared" si="130"/>
        <v>opolskie</v>
      </c>
      <c r="F723">
        <v>19</v>
      </c>
      <c r="G723" t="str">
        <f>"Publiczna Szkoła Podstawowa, ul. Wolności 1, Szymiszów"</f>
        <v>Publiczna Szkoła Podstawowa, ul. Wolności 1, Szymiszów</v>
      </c>
      <c r="H723">
        <v>638</v>
      </c>
      <c r="I723">
        <v>640</v>
      </c>
      <c r="J723">
        <v>211</v>
      </c>
      <c r="K723">
        <v>0</v>
      </c>
      <c r="L723">
        <v>429</v>
      </c>
      <c r="M723">
        <v>211</v>
      </c>
      <c r="N723">
        <v>210</v>
      </c>
      <c r="O723">
        <v>1</v>
      </c>
      <c r="P723">
        <v>72</v>
      </c>
      <c r="Q723">
        <v>138</v>
      </c>
    </row>
    <row r="724" spans="1:17" ht="14.25">
      <c r="A724">
        <v>720</v>
      </c>
      <c r="B724" t="str">
        <f t="shared" si="128"/>
        <v>161105</v>
      </c>
      <c r="C724" t="str">
        <f t="shared" si="129"/>
        <v>gm. Strzelce Opolskie</v>
      </c>
      <c r="D724" t="str">
        <f t="shared" si="131"/>
        <v>strzelecki</v>
      </c>
      <c r="E724" t="str">
        <f t="shared" si="130"/>
        <v>opolskie</v>
      </c>
      <c r="F724">
        <v>20</v>
      </c>
      <c r="G724" t="str">
        <f>"Publiczne Gimnazjum, ul. Szkolna 2, Szymiszów"</f>
        <v>Publiczne Gimnazjum, ul. Szkolna 2, Szymiszów</v>
      </c>
      <c r="H724">
        <v>846</v>
      </c>
      <c r="I724">
        <v>800</v>
      </c>
      <c r="J724">
        <v>311</v>
      </c>
      <c r="K724">
        <v>0</v>
      </c>
      <c r="L724">
        <v>489</v>
      </c>
      <c r="M724">
        <v>311</v>
      </c>
      <c r="N724">
        <v>308</v>
      </c>
      <c r="O724">
        <v>3</v>
      </c>
      <c r="P724">
        <v>88</v>
      </c>
      <c r="Q724">
        <v>220</v>
      </c>
    </row>
    <row r="725" spans="1:17" ht="14.25">
      <c r="A725">
        <v>721</v>
      </c>
      <c r="B725" t="str">
        <f t="shared" si="128"/>
        <v>161105</v>
      </c>
      <c r="C725" t="str">
        <f t="shared" si="129"/>
        <v>gm. Strzelce Opolskie</v>
      </c>
      <c r="D725" t="str">
        <f t="shared" si="131"/>
        <v>strzelecki</v>
      </c>
      <c r="E725" t="str">
        <f t="shared" si="130"/>
        <v>opolskie</v>
      </c>
      <c r="F725">
        <v>21</v>
      </c>
      <c r="G725" t="str">
        <f>"Publiczna Szkoła Podstawowa, ul. Kościelna 40, Sucha"</f>
        <v>Publiczna Szkoła Podstawowa, ul. Kościelna 40, Sucha</v>
      </c>
      <c r="H725">
        <v>564</v>
      </c>
      <c r="I725">
        <v>581</v>
      </c>
      <c r="J725">
        <v>241</v>
      </c>
      <c r="K725">
        <v>0</v>
      </c>
      <c r="L725">
        <v>340</v>
      </c>
      <c r="M725">
        <v>241</v>
      </c>
      <c r="N725">
        <v>239</v>
      </c>
      <c r="O725">
        <v>2</v>
      </c>
      <c r="P725">
        <v>64</v>
      </c>
      <c r="Q725">
        <v>175</v>
      </c>
    </row>
    <row r="726" spans="1:17" ht="14.25">
      <c r="A726">
        <v>722</v>
      </c>
      <c r="B726" t="str">
        <f t="shared" si="128"/>
        <v>161105</v>
      </c>
      <c r="C726" t="str">
        <f t="shared" si="129"/>
        <v>gm. Strzelce Opolskie</v>
      </c>
      <c r="D726" t="str">
        <f t="shared" si="131"/>
        <v>strzelecki</v>
      </c>
      <c r="E726" t="str">
        <f t="shared" si="130"/>
        <v>opolskie</v>
      </c>
      <c r="F726">
        <v>22</v>
      </c>
      <c r="G726" t="str">
        <f>"Publiczna Szkoła Podstawowa, ul. Szkolna 3, Rozmierka"</f>
        <v>Publiczna Szkoła Podstawowa, ul. Szkolna 3, Rozmierka</v>
      </c>
      <c r="H726">
        <v>943</v>
      </c>
      <c r="I726">
        <v>879</v>
      </c>
      <c r="J726">
        <v>294</v>
      </c>
      <c r="K726">
        <v>0</v>
      </c>
      <c r="L726">
        <v>585</v>
      </c>
      <c r="M726">
        <v>294</v>
      </c>
      <c r="N726">
        <v>294</v>
      </c>
      <c r="O726">
        <v>0</v>
      </c>
      <c r="P726">
        <v>93</v>
      </c>
      <c r="Q726">
        <v>201</v>
      </c>
    </row>
    <row r="727" spans="1:17" ht="14.25">
      <c r="A727">
        <v>723</v>
      </c>
      <c r="B727" t="str">
        <f t="shared" si="128"/>
        <v>161105</v>
      </c>
      <c r="C727" t="str">
        <f t="shared" si="129"/>
        <v>gm. Strzelce Opolskie</v>
      </c>
      <c r="D727" t="str">
        <f t="shared" si="131"/>
        <v>strzelecki</v>
      </c>
      <c r="E727" t="str">
        <f t="shared" si="130"/>
        <v>opolskie</v>
      </c>
      <c r="F727">
        <v>23</v>
      </c>
      <c r="G727" t="str">
        <f>"Świetlica Wiejska, ul. Wolności 28, Rożniątów"</f>
        <v>Świetlica Wiejska, ul. Wolności 28, Rożniątów</v>
      </c>
      <c r="H727">
        <v>721</v>
      </c>
      <c r="I727">
        <v>722</v>
      </c>
      <c r="J727">
        <v>231</v>
      </c>
      <c r="K727">
        <v>0</v>
      </c>
      <c r="L727">
        <v>491</v>
      </c>
      <c r="M727">
        <v>231</v>
      </c>
      <c r="N727">
        <v>229</v>
      </c>
      <c r="O727">
        <v>2</v>
      </c>
      <c r="P727">
        <v>63</v>
      </c>
      <c r="Q727">
        <v>166</v>
      </c>
    </row>
    <row r="728" spans="1:17" ht="14.25">
      <c r="A728">
        <v>724</v>
      </c>
      <c r="B728" t="str">
        <f t="shared" si="128"/>
        <v>161105</v>
      </c>
      <c r="C728" t="str">
        <f t="shared" si="129"/>
        <v>gm. Strzelce Opolskie</v>
      </c>
      <c r="D728" t="str">
        <f t="shared" si="131"/>
        <v>strzelecki</v>
      </c>
      <c r="E728" t="str">
        <f t="shared" si="130"/>
        <v>opolskie</v>
      </c>
      <c r="F728">
        <v>24</v>
      </c>
      <c r="G728" t="str">
        <f>"Świetlica Wiejska, ul. Wyzwolenia 10, Rozmierz"</f>
        <v>Świetlica Wiejska, ul. Wyzwolenia 10, Rozmierz</v>
      </c>
      <c r="H728">
        <v>382</v>
      </c>
      <c r="I728">
        <v>400</v>
      </c>
      <c r="J728">
        <v>135</v>
      </c>
      <c r="K728">
        <v>0</v>
      </c>
      <c r="L728">
        <v>265</v>
      </c>
      <c r="M728">
        <v>135</v>
      </c>
      <c r="N728">
        <v>135</v>
      </c>
      <c r="O728">
        <v>0</v>
      </c>
      <c r="P728">
        <v>42</v>
      </c>
      <c r="Q728">
        <v>93</v>
      </c>
    </row>
    <row r="729" spans="1:17" ht="14.25">
      <c r="A729">
        <v>725</v>
      </c>
      <c r="B729" t="str">
        <f t="shared" si="128"/>
        <v>161105</v>
      </c>
      <c r="C729" t="str">
        <f t="shared" si="129"/>
        <v>gm. Strzelce Opolskie</v>
      </c>
      <c r="D729" t="str">
        <f t="shared" si="131"/>
        <v>strzelecki</v>
      </c>
      <c r="E729" t="str">
        <f t="shared" si="130"/>
        <v>opolskie</v>
      </c>
      <c r="F729">
        <v>25</v>
      </c>
      <c r="G729" t="str">
        <f>"Dom Pomocy Społecznej, ul. Strażacka 8, Strzelce Opolskie"</f>
        <v>Dom Pomocy Społecznej, ul. Strażacka 8, Strzelce Opolskie</v>
      </c>
      <c r="H729">
        <v>52</v>
      </c>
      <c r="I729">
        <v>52</v>
      </c>
      <c r="J729">
        <v>26</v>
      </c>
      <c r="K729">
        <v>0</v>
      </c>
      <c r="L729">
        <v>26</v>
      </c>
      <c r="M729">
        <v>26</v>
      </c>
      <c r="N729">
        <v>23</v>
      </c>
      <c r="O729">
        <v>3</v>
      </c>
      <c r="P729">
        <v>11</v>
      </c>
      <c r="Q729">
        <v>12</v>
      </c>
    </row>
    <row r="730" spans="1:17" ht="14.25">
      <c r="A730">
        <v>726</v>
      </c>
      <c r="B730" t="str">
        <f t="shared" si="128"/>
        <v>161105</v>
      </c>
      <c r="C730" t="str">
        <f t="shared" si="129"/>
        <v>gm. Strzelce Opolskie</v>
      </c>
      <c r="D730" t="str">
        <f t="shared" si="131"/>
        <v>strzelecki</v>
      </c>
      <c r="E730" t="str">
        <f t="shared" si="130"/>
        <v>opolskie</v>
      </c>
      <c r="F730">
        <v>26</v>
      </c>
      <c r="G730" t="str">
        <f>"Dom Pomocy Społecznej w Strzelcach Opolskich - Filia w Szymiszowie, ul. Strzelecka 2, Szymiszów"</f>
        <v>Dom Pomocy Społecznej w Strzelcach Opolskich - Filia w Szymiszowie, ul. Strzelecka 2, Szymiszów</v>
      </c>
      <c r="H730">
        <v>115</v>
      </c>
      <c r="I730">
        <v>115</v>
      </c>
      <c r="J730">
        <v>49</v>
      </c>
      <c r="K730">
        <v>0</v>
      </c>
      <c r="L730">
        <v>66</v>
      </c>
      <c r="M730">
        <v>49</v>
      </c>
      <c r="N730">
        <v>48</v>
      </c>
      <c r="O730">
        <v>1</v>
      </c>
      <c r="P730">
        <v>18</v>
      </c>
      <c r="Q730">
        <v>30</v>
      </c>
    </row>
    <row r="731" spans="1:17" ht="14.25">
      <c r="A731">
        <v>727</v>
      </c>
      <c r="B731" t="str">
        <f t="shared" si="128"/>
        <v>161105</v>
      </c>
      <c r="C731" t="str">
        <f t="shared" si="129"/>
        <v>gm. Strzelce Opolskie</v>
      </c>
      <c r="D731" t="str">
        <f t="shared" si="131"/>
        <v>strzelecki</v>
      </c>
      <c r="E731" t="str">
        <f t="shared" si="130"/>
        <v>opolskie</v>
      </c>
      <c r="F731">
        <v>27</v>
      </c>
      <c r="G731" t="str">
        <f>"Szpital Powiatowy, ul. Opolska 36a, Strzelce Opolskie"</f>
        <v>Szpital Powiatowy, ul. Opolska 36a, Strzelce Opolskie</v>
      </c>
      <c r="H731">
        <v>64</v>
      </c>
      <c r="I731">
        <v>63</v>
      </c>
      <c r="J731">
        <v>11</v>
      </c>
      <c r="K731">
        <v>0</v>
      </c>
      <c r="L731">
        <v>52</v>
      </c>
      <c r="M731">
        <v>11</v>
      </c>
      <c r="N731">
        <v>11</v>
      </c>
      <c r="O731">
        <v>0</v>
      </c>
      <c r="P731">
        <v>4</v>
      </c>
      <c r="Q731">
        <v>7</v>
      </c>
    </row>
    <row r="732" spans="1:17" ht="14.25">
      <c r="A732">
        <v>728</v>
      </c>
      <c r="B732" t="str">
        <f t="shared" si="128"/>
        <v>161105</v>
      </c>
      <c r="C732" t="str">
        <f t="shared" si="129"/>
        <v>gm. Strzelce Opolskie</v>
      </c>
      <c r="D732" t="str">
        <f t="shared" si="131"/>
        <v>strzelecki</v>
      </c>
      <c r="E732" t="str">
        <f t="shared" si="130"/>
        <v>opolskie</v>
      </c>
      <c r="F732">
        <v>28</v>
      </c>
      <c r="G732" t="str">
        <f>"Zakład Karny Nr 1, ul.Karola Miarki 1, Strzelce Opolskie"</f>
        <v>Zakład Karny Nr 1, ul.Karola Miarki 1, Strzelce Opolskie</v>
      </c>
      <c r="H732">
        <v>1062</v>
      </c>
      <c r="I732">
        <v>967</v>
      </c>
      <c r="J732">
        <v>616</v>
      </c>
      <c r="K732">
        <v>0</v>
      </c>
      <c r="L732">
        <v>351</v>
      </c>
      <c r="M732">
        <v>616</v>
      </c>
      <c r="N732">
        <v>607</v>
      </c>
      <c r="O732">
        <v>9</v>
      </c>
      <c r="P732">
        <v>56</v>
      </c>
      <c r="Q732">
        <v>551</v>
      </c>
    </row>
    <row r="733" spans="1:17" ht="14.25">
      <c r="A733">
        <v>729</v>
      </c>
      <c r="B733" t="str">
        <f t="shared" si="128"/>
        <v>161105</v>
      </c>
      <c r="C733" t="str">
        <f t="shared" si="129"/>
        <v>gm. Strzelce Opolskie</v>
      </c>
      <c r="D733" t="str">
        <f t="shared" si="131"/>
        <v>strzelecki</v>
      </c>
      <c r="E733" t="str">
        <f t="shared" si="130"/>
        <v>opolskie</v>
      </c>
      <c r="F733">
        <v>29</v>
      </c>
      <c r="G733" t="str">
        <f>"Zakład Karny Nr 2, ul.Gen.Karola Świerczewskiego 3, Strzelce Opolskie"</f>
        <v>Zakład Karny Nr 2, ul.Gen.Karola Świerczewskiego 3, Strzelce Opolskie</v>
      </c>
      <c r="H733">
        <v>613</v>
      </c>
      <c r="I733">
        <v>575</v>
      </c>
      <c r="J733">
        <v>361</v>
      </c>
      <c r="K733">
        <v>0</v>
      </c>
      <c r="L733">
        <v>214</v>
      </c>
      <c r="M733">
        <v>361</v>
      </c>
      <c r="N733">
        <v>354</v>
      </c>
      <c r="O733">
        <v>7</v>
      </c>
      <c r="P733">
        <v>22</v>
      </c>
      <c r="Q733">
        <v>332</v>
      </c>
    </row>
    <row r="734" spans="1:17" ht="14.25">
      <c r="A734">
        <v>730</v>
      </c>
      <c r="B734" t="str">
        <f aca="true" t="shared" si="132" ref="B734:B740">"161106"</f>
        <v>161106</v>
      </c>
      <c r="C734" t="str">
        <f aca="true" t="shared" si="133" ref="C734:C740">"gm. Ujazd"</f>
        <v>gm. Ujazd</v>
      </c>
      <c r="D734" t="str">
        <f t="shared" si="131"/>
        <v>strzelecki</v>
      </c>
      <c r="E734" t="str">
        <f t="shared" si="130"/>
        <v>opolskie</v>
      </c>
      <c r="F734">
        <v>1</v>
      </c>
      <c r="G734" t="str">
        <f>"Sala Posiedzeń Urzędu Miejskiego, ul, Sławięcicka 19, Ujazd"</f>
        <v>Sala Posiedzeń Urzędu Miejskiego, ul, Sławięcicka 19, Ujazd</v>
      </c>
      <c r="H734">
        <v>1390</v>
      </c>
      <c r="I734">
        <v>1279</v>
      </c>
      <c r="J734">
        <v>636</v>
      </c>
      <c r="K734">
        <v>0</v>
      </c>
      <c r="L734">
        <v>643</v>
      </c>
      <c r="M734">
        <v>636</v>
      </c>
      <c r="N734">
        <v>604</v>
      </c>
      <c r="O734">
        <v>32</v>
      </c>
      <c r="P734">
        <v>193</v>
      </c>
      <c r="Q734">
        <v>411</v>
      </c>
    </row>
    <row r="735" spans="1:17" ht="14.25">
      <c r="A735">
        <v>731</v>
      </c>
      <c r="B735" t="str">
        <f t="shared" si="132"/>
        <v>161106</v>
      </c>
      <c r="C735" t="str">
        <f t="shared" si="133"/>
        <v>gm. Ujazd</v>
      </c>
      <c r="D735" t="str">
        <f t="shared" si="131"/>
        <v>strzelecki</v>
      </c>
      <c r="E735" t="str">
        <f t="shared" si="130"/>
        <v>opolskie</v>
      </c>
      <c r="F735">
        <v>2</v>
      </c>
      <c r="G735" t="str">
        <f>"Szkoła Podstawowa, ul. Szkolna 7, Olszowa"</f>
        <v>Szkoła Podstawowa, ul. Szkolna 7, Olszowa</v>
      </c>
      <c r="H735">
        <v>556</v>
      </c>
      <c r="I735">
        <v>582</v>
      </c>
      <c r="J735">
        <v>200</v>
      </c>
      <c r="K735">
        <v>0</v>
      </c>
      <c r="L735">
        <v>382</v>
      </c>
      <c r="M735">
        <v>200</v>
      </c>
      <c r="N735">
        <v>199</v>
      </c>
      <c r="O735">
        <v>1</v>
      </c>
      <c r="P735">
        <v>70</v>
      </c>
      <c r="Q735">
        <v>129</v>
      </c>
    </row>
    <row r="736" spans="1:17" ht="14.25">
      <c r="A736">
        <v>732</v>
      </c>
      <c r="B736" t="str">
        <f t="shared" si="132"/>
        <v>161106</v>
      </c>
      <c r="C736" t="str">
        <f t="shared" si="133"/>
        <v>gm. Ujazd</v>
      </c>
      <c r="D736" t="str">
        <f t="shared" si="131"/>
        <v>strzelecki</v>
      </c>
      <c r="E736" t="str">
        <f t="shared" si="130"/>
        <v>opolskie</v>
      </c>
      <c r="F736">
        <v>3</v>
      </c>
      <c r="G736" t="str">
        <f>"Szkoła Podstawowa, ul. Stawowa 1, Jaryszów"</f>
        <v>Szkoła Podstawowa, ul. Stawowa 1, Jaryszów</v>
      </c>
      <c r="H736">
        <v>833</v>
      </c>
      <c r="I736">
        <v>800</v>
      </c>
      <c r="J736">
        <v>329</v>
      </c>
      <c r="K736">
        <v>0</v>
      </c>
      <c r="L736">
        <v>471</v>
      </c>
      <c r="M736">
        <v>329</v>
      </c>
      <c r="N736">
        <v>329</v>
      </c>
      <c r="O736">
        <v>0</v>
      </c>
      <c r="P736">
        <v>110</v>
      </c>
      <c r="Q736">
        <v>219</v>
      </c>
    </row>
    <row r="737" spans="1:17" ht="14.25">
      <c r="A737">
        <v>733</v>
      </c>
      <c r="B737" t="str">
        <f t="shared" si="132"/>
        <v>161106</v>
      </c>
      <c r="C737" t="str">
        <f t="shared" si="133"/>
        <v>gm. Ujazd</v>
      </c>
      <c r="D737" t="str">
        <f t="shared" si="131"/>
        <v>strzelecki</v>
      </c>
      <c r="E737" t="str">
        <f t="shared" si="130"/>
        <v>opolskie</v>
      </c>
      <c r="F737">
        <v>4</v>
      </c>
      <c r="G737" t="str">
        <f>"Filialna Szkoła Podstawowa, ul. Strzelecka 2, Zimna Wódka"</f>
        <v>Filialna Szkoła Podstawowa, ul. Strzelecka 2, Zimna Wódka</v>
      </c>
      <c r="H737">
        <v>593</v>
      </c>
      <c r="I737">
        <v>575</v>
      </c>
      <c r="J737">
        <v>217</v>
      </c>
      <c r="K737">
        <v>0</v>
      </c>
      <c r="L737">
        <v>358</v>
      </c>
      <c r="M737">
        <v>217</v>
      </c>
      <c r="N737">
        <v>216</v>
      </c>
      <c r="O737">
        <v>1</v>
      </c>
      <c r="P737">
        <v>49</v>
      </c>
      <c r="Q737">
        <v>167</v>
      </c>
    </row>
    <row r="738" spans="1:17" ht="14.25">
      <c r="A738">
        <v>734</v>
      </c>
      <c r="B738" t="str">
        <f t="shared" si="132"/>
        <v>161106</v>
      </c>
      <c r="C738" t="str">
        <f t="shared" si="133"/>
        <v>gm. Ujazd</v>
      </c>
      <c r="D738" t="str">
        <f t="shared" si="131"/>
        <v>strzelecki</v>
      </c>
      <c r="E738" t="str">
        <f t="shared" si="130"/>
        <v>opolskie</v>
      </c>
      <c r="F738">
        <v>5</v>
      </c>
      <c r="G738" t="str">
        <f>"Filialna Szkoła Podstawowa, ul. Strzelecka 26, Sieroniowice"</f>
        <v>Filialna Szkoła Podstawowa, ul. Strzelecka 26, Sieroniowice</v>
      </c>
      <c r="H738">
        <v>718</v>
      </c>
      <c r="I738">
        <v>719</v>
      </c>
      <c r="J738">
        <v>242</v>
      </c>
      <c r="K738">
        <v>0</v>
      </c>
      <c r="L738">
        <v>477</v>
      </c>
      <c r="M738">
        <v>242</v>
      </c>
      <c r="N738">
        <v>238</v>
      </c>
      <c r="O738">
        <v>4</v>
      </c>
      <c r="P738">
        <v>98</v>
      </c>
      <c r="Q738">
        <v>140</v>
      </c>
    </row>
    <row r="739" spans="1:17" ht="14.25">
      <c r="A739">
        <v>735</v>
      </c>
      <c r="B739" t="str">
        <f t="shared" si="132"/>
        <v>161106</v>
      </c>
      <c r="C739" t="str">
        <f t="shared" si="133"/>
        <v>gm. Ujazd</v>
      </c>
      <c r="D739" t="str">
        <f t="shared" si="131"/>
        <v>strzelecki</v>
      </c>
      <c r="E739" t="str">
        <f t="shared" si="130"/>
        <v>opolskie</v>
      </c>
      <c r="F739">
        <v>6</v>
      </c>
      <c r="G739" t="str">
        <f>"Filialna Szkoła Podstawowa, ul. Szkolna 3, Stary Ujazd"</f>
        <v>Filialna Szkoła Podstawowa, ul. Szkolna 3, Stary Ujazd</v>
      </c>
      <c r="H739">
        <v>496</v>
      </c>
      <c r="I739">
        <v>480</v>
      </c>
      <c r="J739">
        <v>199</v>
      </c>
      <c r="K739">
        <v>0</v>
      </c>
      <c r="L739">
        <v>281</v>
      </c>
      <c r="M739">
        <v>199</v>
      </c>
      <c r="N739">
        <v>196</v>
      </c>
      <c r="O739">
        <v>3</v>
      </c>
      <c r="P739">
        <v>69</v>
      </c>
      <c r="Q739">
        <v>127</v>
      </c>
    </row>
    <row r="740" spans="1:17" ht="14.25">
      <c r="A740">
        <v>736</v>
      </c>
      <c r="B740" t="str">
        <f t="shared" si="132"/>
        <v>161106</v>
      </c>
      <c r="C740" t="str">
        <f t="shared" si="133"/>
        <v>gm. Ujazd</v>
      </c>
      <c r="D740" t="str">
        <f t="shared" si="131"/>
        <v>strzelecki</v>
      </c>
      <c r="E740" t="str">
        <f t="shared" si="130"/>
        <v>opolskie</v>
      </c>
      <c r="F740">
        <v>7</v>
      </c>
      <c r="G740" t="str">
        <f>"Budynek Kulturalno - Oświatowy, ul. Wiejska 34, Niezdrowice"</f>
        <v>Budynek Kulturalno - Oświatowy, ul. Wiejska 34, Niezdrowice</v>
      </c>
      <c r="H740">
        <v>471</v>
      </c>
      <c r="I740">
        <v>478</v>
      </c>
      <c r="J740">
        <v>182</v>
      </c>
      <c r="K740">
        <v>0</v>
      </c>
      <c r="L740">
        <v>296</v>
      </c>
      <c r="M740">
        <v>182</v>
      </c>
      <c r="N740">
        <v>181</v>
      </c>
      <c r="O740">
        <v>1</v>
      </c>
      <c r="P740">
        <v>67</v>
      </c>
      <c r="Q740">
        <v>114</v>
      </c>
    </row>
    <row r="741" spans="1:17" ht="14.25">
      <c r="A741">
        <v>737</v>
      </c>
      <c r="B741" t="str">
        <f aca="true" t="shared" si="134" ref="B741:B746">"161107"</f>
        <v>161107</v>
      </c>
      <c r="C741" t="str">
        <f aca="true" t="shared" si="135" ref="C741:C746">"gm. Zawadzkie"</f>
        <v>gm. Zawadzkie</v>
      </c>
      <c r="D741" t="str">
        <f t="shared" si="131"/>
        <v>strzelecki</v>
      </c>
      <c r="E741" t="str">
        <f t="shared" si="130"/>
        <v>opolskie</v>
      </c>
      <c r="F741">
        <v>1</v>
      </c>
      <c r="G741" t="str">
        <f>"Ośrodek Pomocy Społecznej, ul. Dębowa 11, Zawadzkie"</f>
        <v>Ośrodek Pomocy Społecznej, ul. Dębowa 11, Zawadzkie</v>
      </c>
      <c r="H741">
        <v>1510</v>
      </c>
      <c r="I741">
        <v>1438</v>
      </c>
      <c r="J741">
        <v>470</v>
      </c>
      <c r="K741">
        <v>1</v>
      </c>
      <c r="L741">
        <v>968</v>
      </c>
      <c r="M741">
        <v>470</v>
      </c>
      <c r="N741">
        <v>460</v>
      </c>
      <c r="O741">
        <v>10</v>
      </c>
      <c r="P741">
        <v>152</v>
      </c>
      <c r="Q741">
        <v>308</v>
      </c>
    </row>
    <row r="742" spans="1:17" ht="14.25">
      <c r="A742">
        <v>738</v>
      </c>
      <c r="B742" t="str">
        <f t="shared" si="134"/>
        <v>161107</v>
      </c>
      <c r="C742" t="str">
        <f t="shared" si="135"/>
        <v>gm. Zawadzkie</v>
      </c>
      <c r="D742" t="str">
        <f t="shared" si="131"/>
        <v>strzelecki</v>
      </c>
      <c r="E742" t="str">
        <f t="shared" si="130"/>
        <v>opolskie</v>
      </c>
      <c r="F742">
        <v>2</v>
      </c>
      <c r="G742" t="str">
        <f>"Publiczna Szkoła Podstawowa, ul.Opolska 47, Zawadzkie"</f>
        <v>Publiczna Szkoła Podstawowa, ul.Opolska 47, Zawadzkie</v>
      </c>
      <c r="H742">
        <v>1662</v>
      </c>
      <c r="I742">
        <v>1519</v>
      </c>
      <c r="J742">
        <v>664</v>
      </c>
      <c r="K742">
        <v>0</v>
      </c>
      <c r="L742">
        <v>855</v>
      </c>
      <c r="M742">
        <v>664</v>
      </c>
      <c r="N742">
        <v>657</v>
      </c>
      <c r="O742">
        <v>7</v>
      </c>
      <c r="P742">
        <v>210</v>
      </c>
      <c r="Q742">
        <v>447</v>
      </c>
    </row>
    <row r="743" spans="1:17" ht="14.25">
      <c r="A743">
        <v>739</v>
      </c>
      <c r="B743" t="str">
        <f t="shared" si="134"/>
        <v>161107</v>
      </c>
      <c r="C743" t="str">
        <f t="shared" si="135"/>
        <v>gm. Zawadzkie</v>
      </c>
      <c r="D743" t="str">
        <f t="shared" si="131"/>
        <v>strzelecki</v>
      </c>
      <c r="E743" t="str">
        <f t="shared" si="130"/>
        <v>opolskie</v>
      </c>
      <c r="F743">
        <v>3</v>
      </c>
      <c r="G743" t="str">
        <f>"Przedszkole Publiczne Nr 2 z Oddziałem Integracyjnym, ul.Paderewskiego 1, Zawadzkie"</f>
        <v>Przedszkole Publiczne Nr 2 z Oddziałem Integracyjnym, ul.Paderewskiego 1, Zawadzkie</v>
      </c>
      <c r="H743">
        <v>1676</v>
      </c>
      <c r="I743">
        <v>1520</v>
      </c>
      <c r="J743">
        <v>753</v>
      </c>
      <c r="K743">
        <v>0</v>
      </c>
      <c r="L743">
        <v>767</v>
      </c>
      <c r="M743">
        <v>753</v>
      </c>
      <c r="N743">
        <v>746</v>
      </c>
      <c r="O743">
        <v>7</v>
      </c>
      <c r="P743">
        <v>279</v>
      </c>
      <c r="Q743">
        <v>467</v>
      </c>
    </row>
    <row r="744" spans="1:17" ht="14.25">
      <c r="A744">
        <v>740</v>
      </c>
      <c r="B744" t="str">
        <f t="shared" si="134"/>
        <v>161107</v>
      </c>
      <c r="C744" t="str">
        <f t="shared" si="135"/>
        <v>gm. Zawadzkie</v>
      </c>
      <c r="D744" t="str">
        <f t="shared" si="131"/>
        <v>strzelecki</v>
      </c>
      <c r="E744" t="str">
        <f t="shared" si="130"/>
        <v>opolskie</v>
      </c>
      <c r="F744">
        <v>4</v>
      </c>
      <c r="G744" t="str">
        <f>"Zespół Szkół Zawodowych, ul. Opolska 2, Zawadzkie"</f>
        <v>Zespół Szkół Zawodowych, ul. Opolska 2, Zawadzkie</v>
      </c>
      <c r="H744">
        <v>1642</v>
      </c>
      <c r="I744">
        <v>1525</v>
      </c>
      <c r="J744">
        <v>553</v>
      </c>
      <c r="K744">
        <v>0</v>
      </c>
      <c r="L744">
        <v>972</v>
      </c>
      <c r="M744">
        <v>553</v>
      </c>
      <c r="N744">
        <v>541</v>
      </c>
      <c r="O744">
        <v>12</v>
      </c>
      <c r="P744">
        <v>192</v>
      </c>
      <c r="Q744">
        <v>349</v>
      </c>
    </row>
    <row r="745" spans="1:17" ht="14.25">
      <c r="A745">
        <v>741</v>
      </c>
      <c r="B745" t="str">
        <f t="shared" si="134"/>
        <v>161107</v>
      </c>
      <c r="C745" t="str">
        <f t="shared" si="135"/>
        <v>gm. Zawadzkie</v>
      </c>
      <c r="D745" t="str">
        <f t="shared" si="131"/>
        <v>strzelecki</v>
      </c>
      <c r="E745" t="str">
        <f t="shared" si="130"/>
        <v>opolskie</v>
      </c>
      <c r="F745">
        <v>5</v>
      </c>
      <c r="G745" t="str">
        <f>"Zespół Szkolno-Gimnazjalny, ul.Strzelecka 35, Żędowice"</f>
        <v>Zespół Szkolno-Gimnazjalny, ul.Strzelecka 35, Żędowice</v>
      </c>
      <c r="H745">
        <v>2039</v>
      </c>
      <c r="I745">
        <v>1840</v>
      </c>
      <c r="J745">
        <v>637</v>
      </c>
      <c r="K745">
        <v>0</v>
      </c>
      <c r="L745">
        <v>1203</v>
      </c>
      <c r="M745">
        <v>637</v>
      </c>
      <c r="N745">
        <v>626</v>
      </c>
      <c r="O745">
        <v>11</v>
      </c>
      <c r="P745">
        <v>326</v>
      </c>
      <c r="Q745">
        <v>300</v>
      </c>
    </row>
    <row r="746" spans="1:17" ht="14.25">
      <c r="A746">
        <v>742</v>
      </c>
      <c r="B746" t="str">
        <f t="shared" si="134"/>
        <v>161107</v>
      </c>
      <c r="C746" t="str">
        <f t="shared" si="135"/>
        <v>gm. Zawadzkie</v>
      </c>
      <c r="D746" t="str">
        <f t="shared" si="131"/>
        <v>strzelecki</v>
      </c>
      <c r="E746" t="str">
        <f t="shared" si="130"/>
        <v>opolskie</v>
      </c>
      <c r="F746">
        <v>6</v>
      </c>
      <c r="G746" t="str">
        <f>"Zabytkowa Chata, ul. Dobrego Pasterza 35, Kielcza"</f>
        <v>Zabytkowa Chata, ul. Dobrego Pasterza 35, Kielcza</v>
      </c>
      <c r="H746">
        <v>1614</v>
      </c>
      <c r="I746">
        <v>1440</v>
      </c>
      <c r="J746">
        <v>615</v>
      </c>
      <c r="K746">
        <v>0</v>
      </c>
      <c r="L746">
        <v>825</v>
      </c>
      <c r="M746">
        <v>615</v>
      </c>
      <c r="N746">
        <v>612</v>
      </c>
      <c r="O746">
        <v>3</v>
      </c>
      <c r="P746">
        <v>289</v>
      </c>
      <c r="Q746">
        <v>323</v>
      </c>
    </row>
    <row r="747" spans="1:17" ht="14.25">
      <c r="A747">
        <v>743</v>
      </c>
      <c r="B747" t="str">
        <f aca="true" t="shared" si="136" ref="B747:B778">"166101"</f>
        <v>166101</v>
      </c>
      <c r="C747" t="str">
        <f aca="true" t="shared" si="137" ref="C747:C778">"m. Opole"</f>
        <v>m. Opole</v>
      </c>
      <c r="D747">
        <f>""</f>
      </c>
      <c r="E747" t="str">
        <f t="shared" si="130"/>
        <v>opolskie</v>
      </c>
      <c r="F747">
        <v>1</v>
      </c>
      <c r="G747" t="str">
        <f>"Remiza OSP, ul. Wrocławska 190"</f>
        <v>Remiza OSP, ul. Wrocławska 190</v>
      </c>
      <c r="H747">
        <v>361</v>
      </c>
      <c r="I747">
        <v>400</v>
      </c>
      <c r="J747">
        <v>206</v>
      </c>
      <c r="K747">
        <v>0</v>
      </c>
      <c r="L747">
        <v>194</v>
      </c>
      <c r="M747">
        <v>206</v>
      </c>
      <c r="N747">
        <v>205</v>
      </c>
      <c r="O747">
        <v>1</v>
      </c>
      <c r="P747">
        <v>51</v>
      </c>
      <c r="Q747">
        <v>154</v>
      </c>
    </row>
    <row r="748" spans="1:17" ht="14.25">
      <c r="A748">
        <v>744</v>
      </c>
      <c r="B748" t="str">
        <f t="shared" si="136"/>
        <v>166101</v>
      </c>
      <c r="C748" t="str">
        <f t="shared" si="137"/>
        <v>m. Opole</v>
      </c>
      <c r="D748">
        <f>""</f>
      </c>
      <c r="E748" t="str">
        <f t="shared" si="130"/>
        <v>opolskie</v>
      </c>
      <c r="F748">
        <v>2</v>
      </c>
      <c r="G748" t="str">
        <f>"Publiczna Szkoła Podstawowa Nr 9, ul. Cmentarna 7"</f>
        <v>Publiczna Szkoła Podstawowa Nr 9, ul. Cmentarna 7</v>
      </c>
      <c r="H748">
        <v>2054</v>
      </c>
      <c r="I748">
        <v>1840</v>
      </c>
      <c r="J748">
        <v>1112</v>
      </c>
      <c r="K748">
        <v>1</v>
      </c>
      <c r="L748">
        <v>728</v>
      </c>
      <c r="M748">
        <v>1112</v>
      </c>
      <c r="N748">
        <v>1103</v>
      </c>
      <c r="O748">
        <v>9</v>
      </c>
      <c r="P748">
        <v>278</v>
      </c>
      <c r="Q748">
        <v>825</v>
      </c>
    </row>
    <row r="749" spans="1:17" ht="14.25">
      <c r="A749">
        <v>745</v>
      </c>
      <c r="B749" t="str">
        <f t="shared" si="136"/>
        <v>166101</v>
      </c>
      <c r="C749" t="str">
        <f t="shared" si="137"/>
        <v>m. Opole</v>
      </c>
      <c r="D749">
        <f>""</f>
      </c>
      <c r="E749" t="str">
        <f t="shared" si="130"/>
        <v>opolskie</v>
      </c>
      <c r="F749">
        <v>3</v>
      </c>
      <c r="G749" t="str">
        <f>"Publiczna Szkoła Podstawowa Nr 14, ul. Szymona Koszyka 21 (wejście od strony sali gimnastycznej)"</f>
        <v>Publiczna Szkoła Podstawowa Nr 14, ul. Szymona Koszyka 21 (wejście od strony sali gimnastycznej)</v>
      </c>
      <c r="H749">
        <v>793</v>
      </c>
      <c r="I749">
        <v>800</v>
      </c>
      <c r="J749">
        <v>525</v>
      </c>
      <c r="K749">
        <v>0</v>
      </c>
      <c r="L749">
        <v>275</v>
      </c>
      <c r="M749">
        <v>525</v>
      </c>
      <c r="N749">
        <v>520</v>
      </c>
      <c r="O749">
        <v>5</v>
      </c>
      <c r="P749">
        <v>159</v>
      </c>
      <c r="Q749">
        <v>361</v>
      </c>
    </row>
    <row r="750" spans="1:17" ht="14.25">
      <c r="A750">
        <v>746</v>
      </c>
      <c r="B750" t="str">
        <f t="shared" si="136"/>
        <v>166101</v>
      </c>
      <c r="C750" t="str">
        <f t="shared" si="137"/>
        <v>m. Opole</v>
      </c>
      <c r="D750">
        <f>""</f>
      </c>
      <c r="E750" t="str">
        <f t="shared" si="130"/>
        <v>opolskie</v>
      </c>
      <c r="F750">
        <v>4</v>
      </c>
      <c r="G750" t="str">
        <f>"Publiczna Szkoła Podstawowa Nr 14, ul. Szymona Koszyka 21 (wejście główne)"</f>
        <v>Publiczna Szkoła Podstawowa Nr 14, ul. Szymona Koszyka 21 (wejście główne)</v>
      </c>
      <c r="H750">
        <v>1371</v>
      </c>
      <c r="I750">
        <v>1377</v>
      </c>
      <c r="J750">
        <v>890</v>
      </c>
      <c r="K750">
        <v>1</v>
      </c>
      <c r="L750">
        <v>484</v>
      </c>
      <c r="M750">
        <v>887</v>
      </c>
      <c r="N750">
        <v>881</v>
      </c>
      <c r="O750">
        <v>6</v>
      </c>
      <c r="P750">
        <v>237</v>
      </c>
      <c r="Q750">
        <v>644</v>
      </c>
    </row>
    <row r="751" spans="1:17" ht="14.25">
      <c r="A751">
        <v>747</v>
      </c>
      <c r="B751" t="str">
        <f t="shared" si="136"/>
        <v>166101</v>
      </c>
      <c r="C751" t="str">
        <f t="shared" si="137"/>
        <v>m. Opole</v>
      </c>
      <c r="D751">
        <f>""</f>
      </c>
      <c r="E751" t="str">
        <f t="shared" si="130"/>
        <v>opolskie</v>
      </c>
      <c r="F751">
        <v>5</v>
      </c>
      <c r="G751" t="str">
        <f>"Zespół Szkół Budowlanych, ul. Niemodlińska 40"</f>
        <v>Zespół Szkół Budowlanych, ul. Niemodlińska 40</v>
      </c>
      <c r="H751">
        <v>1016</v>
      </c>
      <c r="I751">
        <v>958</v>
      </c>
      <c r="J751">
        <v>637</v>
      </c>
      <c r="K751">
        <v>1</v>
      </c>
      <c r="L751">
        <v>321</v>
      </c>
      <c r="M751">
        <v>635</v>
      </c>
      <c r="N751">
        <v>626</v>
      </c>
      <c r="O751">
        <v>9</v>
      </c>
      <c r="P751">
        <v>150</v>
      </c>
      <c r="Q751">
        <v>476</v>
      </c>
    </row>
    <row r="752" spans="1:17" ht="14.25">
      <c r="A752">
        <v>748</v>
      </c>
      <c r="B752" t="str">
        <f t="shared" si="136"/>
        <v>166101</v>
      </c>
      <c r="C752" t="str">
        <f t="shared" si="137"/>
        <v>m. Opole</v>
      </c>
      <c r="D752">
        <f>""</f>
      </c>
      <c r="E752" t="str">
        <f t="shared" si="130"/>
        <v>opolskie</v>
      </c>
      <c r="F752">
        <v>6</v>
      </c>
      <c r="G752" t="str">
        <f>"Publiczna Szkoła Podstawowa Nr 8, ul. Księdza Norberta Bonczyka 13"</f>
        <v>Publiczna Szkoła Podstawowa Nr 8, ul. Księdza Norberta Bonczyka 13</v>
      </c>
      <c r="H752">
        <v>1937</v>
      </c>
      <c r="I752">
        <v>1840</v>
      </c>
      <c r="J752">
        <v>1116</v>
      </c>
      <c r="K752">
        <v>0</v>
      </c>
      <c r="L752">
        <v>724</v>
      </c>
      <c r="M752">
        <v>1116</v>
      </c>
      <c r="N752">
        <v>1100</v>
      </c>
      <c r="O752">
        <v>16</v>
      </c>
      <c r="P752">
        <v>294</v>
      </c>
      <c r="Q752">
        <v>806</v>
      </c>
    </row>
    <row r="753" spans="1:17" ht="14.25">
      <c r="A753">
        <v>749</v>
      </c>
      <c r="B753" t="str">
        <f t="shared" si="136"/>
        <v>166101</v>
      </c>
      <c r="C753" t="str">
        <f t="shared" si="137"/>
        <v>m. Opole</v>
      </c>
      <c r="D753">
        <f>""</f>
      </c>
      <c r="E753" t="str">
        <f t="shared" si="130"/>
        <v>opolskie</v>
      </c>
      <c r="F753">
        <v>7</v>
      </c>
      <c r="G753" t="str">
        <f>"Publiczne Liceum Ogólnokształcące Nr I, ul. Licealna 3"</f>
        <v>Publiczne Liceum Ogólnokształcące Nr I, ul. Licealna 3</v>
      </c>
      <c r="H753">
        <v>1529</v>
      </c>
      <c r="I753">
        <v>1440</v>
      </c>
      <c r="J753">
        <v>867</v>
      </c>
      <c r="K753">
        <v>1</v>
      </c>
      <c r="L753">
        <v>573</v>
      </c>
      <c r="M753">
        <v>867</v>
      </c>
      <c r="N753">
        <v>861</v>
      </c>
      <c r="O753">
        <v>6</v>
      </c>
      <c r="P753">
        <v>226</v>
      </c>
      <c r="Q753">
        <v>635</v>
      </c>
    </row>
    <row r="754" spans="1:17" ht="14.25">
      <c r="A754">
        <v>750</v>
      </c>
      <c r="B754" t="str">
        <f t="shared" si="136"/>
        <v>166101</v>
      </c>
      <c r="C754" t="str">
        <f t="shared" si="137"/>
        <v>m. Opole</v>
      </c>
      <c r="D754">
        <f>""</f>
      </c>
      <c r="E754" t="str">
        <f t="shared" si="130"/>
        <v>opolskie</v>
      </c>
      <c r="F754">
        <v>8</v>
      </c>
      <c r="G754" t="str">
        <f>"Miejska Biblioteka Publiczna, Plac Józefa Piłsudskiego 5-6"</f>
        <v>Miejska Biblioteka Publiczna, Plac Józefa Piłsudskiego 5-6</v>
      </c>
      <c r="H754">
        <v>1666</v>
      </c>
      <c r="I754">
        <v>1498</v>
      </c>
      <c r="J754">
        <v>996</v>
      </c>
      <c r="K754">
        <v>0</v>
      </c>
      <c r="L754">
        <v>502</v>
      </c>
      <c r="M754">
        <v>996</v>
      </c>
      <c r="N754">
        <v>984</v>
      </c>
      <c r="O754">
        <v>12</v>
      </c>
      <c r="P754">
        <v>234</v>
      </c>
      <c r="Q754">
        <v>750</v>
      </c>
    </row>
    <row r="755" spans="1:17" ht="14.25">
      <c r="A755">
        <v>751</v>
      </c>
      <c r="B755" t="str">
        <f t="shared" si="136"/>
        <v>166101</v>
      </c>
      <c r="C755" t="str">
        <f t="shared" si="137"/>
        <v>m. Opole</v>
      </c>
      <c r="D755">
        <f>""</f>
      </c>
      <c r="E755" t="str">
        <f t="shared" si="130"/>
        <v>opolskie</v>
      </c>
      <c r="F755">
        <v>9</v>
      </c>
      <c r="G755" t="str">
        <f>"Zespół Szkół Specjalnych, ul. Książąt Opolskich 21"</f>
        <v>Zespół Szkół Specjalnych, ul. Książąt Opolskich 21</v>
      </c>
      <c r="H755">
        <v>1574</v>
      </c>
      <c r="I755">
        <v>1517</v>
      </c>
      <c r="J755">
        <v>948</v>
      </c>
      <c r="K755">
        <v>2</v>
      </c>
      <c r="L755">
        <v>569</v>
      </c>
      <c r="M755">
        <v>948</v>
      </c>
      <c r="N755">
        <v>938</v>
      </c>
      <c r="O755">
        <v>10</v>
      </c>
      <c r="P755">
        <v>257</v>
      </c>
      <c r="Q755">
        <v>681</v>
      </c>
    </row>
    <row r="756" spans="1:17" ht="14.25">
      <c r="A756">
        <v>752</v>
      </c>
      <c r="B756" t="str">
        <f t="shared" si="136"/>
        <v>166101</v>
      </c>
      <c r="C756" t="str">
        <f t="shared" si="137"/>
        <v>m. Opole</v>
      </c>
      <c r="D756">
        <f>""</f>
      </c>
      <c r="E756" t="str">
        <f t="shared" si="130"/>
        <v>opolskie</v>
      </c>
      <c r="F756">
        <v>10</v>
      </c>
      <c r="G756" t="str">
        <f>"Oddział Przedszkola Publicznego Nr 8, ul. Gminna 1"</f>
        <v>Oddział Przedszkola Publicznego Nr 8, ul. Gminna 1</v>
      </c>
      <c r="H756">
        <v>725</v>
      </c>
      <c r="I756">
        <v>725</v>
      </c>
      <c r="J756">
        <v>310</v>
      </c>
      <c r="K756">
        <v>0</v>
      </c>
      <c r="L756">
        <v>415</v>
      </c>
      <c r="M756">
        <v>310</v>
      </c>
      <c r="N756">
        <v>307</v>
      </c>
      <c r="O756">
        <v>3</v>
      </c>
      <c r="P756">
        <v>78</v>
      </c>
      <c r="Q756">
        <v>229</v>
      </c>
    </row>
    <row r="757" spans="1:17" ht="14.25">
      <c r="A757">
        <v>753</v>
      </c>
      <c r="B757" t="str">
        <f t="shared" si="136"/>
        <v>166101</v>
      </c>
      <c r="C757" t="str">
        <f t="shared" si="137"/>
        <v>m. Opole</v>
      </c>
      <c r="D757">
        <f>""</f>
      </c>
      <c r="E757" t="str">
        <f t="shared" si="130"/>
        <v>opolskie</v>
      </c>
      <c r="F757">
        <v>11</v>
      </c>
      <c r="G757" t="str">
        <f>"Publiczna Szkoła Podstawowa Nr 7, ul. Budowlanych 40"</f>
        <v>Publiczna Szkoła Podstawowa Nr 7, ul. Budowlanych 40</v>
      </c>
      <c r="H757">
        <v>1172</v>
      </c>
      <c r="I757">
        <v>1119</v>
      </c>
      <c r="J757">
        <v>572</v>
      </c>
      <c r="K757">
        <v>1</v>
      </c>
      <c r="L757">
        <v>547</v>
      </c>
      <c r="M757">
        <v>572</v>
      </c>
      <c r="N757">
        <v>564</v>
      </c>
      <c r="O757">
        <v>8</v>
      </c>
      <c r="P757">
        <v>162</v>
      </c>
      <c r="Q757">
        <v>402</v>
      </c>
    </row>
    <row r="758" spans="1:17" ht="14.25">
      <c r="A758">
        <v>754</v>
      </c>
      <c r="B758" t="str">
        <f t="shared" si="136"/>
        <v>166101</v>
      </c>
      <c r="C758" t="str">
        <f t="shared" si="137"/>
        <v>m. Opole</v>
      </c>
      <c r="D758">
        <f>""</f>
      </c>
      <c r="E758" t="str">
        <f t="shared" si="130"/>
        <v>opolskie</v>
      </c>
      <c r="F758">
        <v>12</v>
      </c>
      <c r="G758" t="str">
        <f>"Publiczne Gimnazjum Nr 7, ul. Oleska 68"</f>
        <v>Publiczne Gimnazjum Nr 7, ul. Oleska 68</v>
      </c>
      <c r="H758">
        <v>1625</v>
      </c>
      <c r="I758">
        <v>1522</v>
      </c>
      <c r="J758">
        <v>1018</v>
      </c>
      <c r="K758">
        <v>0</v>
      </c>
      <c r="L758">
        <v>504</v>
      </c>
      <c r="M758">
        <v>1017</v>
      </c>
      <c r="N758">
        <v>1004</v>
      </c>
      <c r="O758">
        <v>13</v>
      </c>
      <c r="P758">
        <v>238</v>
      </c>
      <c r="Q758">
        <v>766</v>
      </c>
    </row>
    <row r="759" spans="1:17" ht="14.25">
      <c r="A759">
        <v>755</v>
      </c>
      <c r="B759" t="str">
        <f t="shared" si="136"/>
        <v>166101</v>
      </c>
      <c r="C759" t="str">
        <f t="shared" si="137"/>
        <v>m. Opole</v>
      </c>
      <c r="D759">
        <f>""</f>
      </c>
      <c r="E759" t="str">
        <f t="shared" si="130"/>
        <v>opolskie</v>
      </c>
      <c r="F759">
        <v>13</v>
      </c>
      <c r="G759" t="str">
        <f>"Budynek Politechniki Opolskiej, ul. Luboszycka 9a"</f>
        <v>Budynek Politechniki Opolskiej, ul. Luboszycka 9a</v>
      </c>
      <c r="H759">
        <v>1277</v>
      </c>
      <c r="I759">
        <v>1278</v>
      </c>
      <c r="J759">
        <v>699</v>
      </c>
      <c r="K759">
        <v>0</v>
      </c>
      <c r="L759">
        <v>579</v>
      </c>
      <c r="M759">
        <v>699</v>
      </c>
      <c r="N759">
        <v>684</v>
      </c>
      <c r="O759">
        <v>15</v>
      </c>
      <c r="P759">
        <v>196</v>
      </c>
      <c r="Q759">
        <v>488</v>
      </c>
    </row>
    <row r="760" spans="1:17" ht="14.25">
      <c r="A760">
        <v>756</v>
      </c>
      <c r="B760" t="str">
        <f t="shared" si="136"/>
        <v>166101</v>
      </c>
      <c r="C760" t="str">
        <f t="shared" si="137"/>
        <v>m. Opole</v>
      </c>
      <c r="D760">
        <f>""</f>
      </c>
      <c r="E760" t="str">
        <f t="shared" si="130"/>
        <v>opolskie</v>
      </c>
      <c r="F760">
        <v>14</v>
      </c>
      <c r="G760" t="s">
        <v>27</v>
      </c>
      <c r="H760">
        <v>1513</v>
      </c>
      <c r="I760">
        <v>1440</v>
      </c>
      <c r="J760">
        <v>1003</v>
      </c>
      <c r="K760">
        <v>0</v>
      </c>
      <c r="L760">
        <v>437</v>
      </c>
      <c r="M760">
        <v>1002</v>
      </c>
      <c r="N760">
        <v>984</v>
      </c>
      <c r="O760">
        <v>18</v>
      </c>
      <c r="P760">
        <v>242</v>
      </c>
      <c r="Q760">
        <v>742</v>
      </c>
    </row>
    <row r="761" spans="1:17" ht="14.25">
      <c r="A761">
        <v>757</v>
      </c>
      <c r="B761" t="str">
        <f t="shared" si="136"/>
        <v>166101</v>
      </c>
      <c r="C761" t="str">
        <f t="shared" si="137"/>
        <v>m. Opole</v>
      </c>
      <c r="D761">
        <f>""</f>
      </c>
      <c r="E761" t="str">
        <f t="shared" si="130"/>
        <v>opolskie</v>
      </c>
      <c r="F761">
        <v>15</v>
      </c>
      <c r="G761" t="str">
        <f>"Przedszkole Publiczne Nr 26, ul. Chabrów 56"</f>
        <v>Przedszkole Publiczne Nr 26, ul. Chabrów 56</v>
      </c>
      <c r="H761">
        <v>1421</v>
      </c>
      <c r="I761">
        <v>1383</v>
      </c>
      <c r="J761">
        <v>909</v>
      </c>
      <c r="K761">
        <v>2</v>
      </c>
      <c r="L761">
        <v>474</v>
      </c>
      <c r="M761">
        <v>909</v>
      </c>
      <c r="N761">
        <v>895</v>
      </c>
      <c r="O761">
        <v>14</v>
      </c>
      <c r="P761">
        <v>238</v>
      </c>
      <c r="Q761">
        <v>657</v>
      </c>
    </row>
    <row r="762" spans="1:17" ht="14.25">
      <c r="A762">
        <v>758</v>
      </c>
      <c r="B762" t="str">
        <f t="shared" si="136"/>
        <v>166101</v>
      </c>
      <c r="C762" t="str">
        <f t="shared" si="137"/>
        <v>m. Opole</v>
      </c>
      <c r="D762">
        <f>""</f>
      </c>
      <c r="E762" t="str">
        <f t="shared" si="130"/>
        <v>opolskie</v>
      </c>
      <c r="F762">
        <v>16</v>
      </c>
      <c r="G762" t="str">
        <f>"Publiczna Szkoła Podstawowa Nr 11, ul. Chabrów 65"</f>
        <v>Publiczna Szkoła Podstawowa Nr 11, ul. Chabrów 65</v>
      </c>
      <c r="H762">
        <v>2076</v>
      </c>
      <c r="I762">
        <v>1918</v>
      </c>
      <c r="J762">
        <v>1267</v>
      </c>
      <c r="K762">
        <v>0</v>
      </c>
      <c r="L762">
        <v>651</v>
      </c>
      <c r="M762">
        <v>1267</v>
      </c>
      <c r="N762">
        <v>1254</v>
      </c>
      <c r="O762">
        <v>13</v>
      </c>
      <c r="P762">
        <v>375</v>
      </c>
      <c r="Q762">
        <v>879</v>
      </c>
    </row>
    <row r="763" spans="1:17" ht="14.25">
      <c r="A763">
        <v>759</v>
      </c>
      <c r="B763" t="str">
        <f t="shared" si="136"/>
        <v>166101</v>
      </c>
      <c r="C763" t="str">
        <f t="shared" si="137"/>
        <v>m. Opole</v>
      </c>
      <c r="D763">
        <f>""</f>
      </c>
      <c r="E763" t="str">
        <f t="shared" si="130"/>
        <v>opolskie</v>
      </c>
      <c r="F763">
        <v>17</v>
      </c>
      <c r="G763" t="str">
        <f>"Publiczna Szkoła Podstawowa Nr 25, ul. Wiejska 7"</f>
        <v>Publiczna Szkoła Podstawowa Nr 25, ul. Wiejska 7</v>
      </c>
      <c r="H763">
        <v>1428</v>
      </c>
      <c r="I763">
        <v>1379</v>
      </c>
      <c r="J763">
        <v>762</v>
      </c>
      <c r="K763">
        <v>0</v>
      </c>
      <c r="L763">
        <v>617</v>
      </c>
      <c r="M763">
        <v>762</v>
      </c>
      <c r="N763">
        <v>757</v>
      </c>
      <c r="O763">
        <v>5</v>
      </c>
      <c r="P763">
        <v>173</v>
      </c>
      <c r="Q763">
        <v>584</v>
      </c>
    </row>
    <row r="764" spans="1:17" ht="14.25">
      <c r="A764">
        <v>760</v>
      </c>
      <c r="B764" t="str">
        <f t="shared" si="136"/>
        <v>166101</v>
      </c>
      <c r="C764" t="str">
        <f t="shared" si="137"/>
        <v>m. Opole</v>
      </c>
      <c r="D764">
        <f>""</f>
      </c>
      <c r="E764" t="str">
        <f t="shared" si="130"/>
        <v>opolskie</v>
      </c>
      <c r="F764">
        <v>18</v>
      </c>
      <c r="G764" t="str">
        <f>"Przedszkole Publiczne Nr 56, ul. Sieradzka 7"</f>
        <v>Przedszkole Publiczne Nr 56, ul. Sieradzka 7</v>
      </c>
      <c r="H764">
        <v>1920</v>
      </c>
      <c r="I764">
        <v>1840</v>
      </c>
      <c r="J764">
        <v>1171</v>
      </c>
      <c r="K764">
        <v>0</v>
      </c>
      <c r="L764">
        <v>669</v>
      </c>
      <c r="M764">
        <v>1171</v>
      </c>
      <c r="N764">
        <v>1157</v>
      </c>
      <c r="O764">
        <v>14</v>
      </c>
      <c r="P764">
        <v>278</v>
      </c>
      <c r="Q764">
        <v>879</v>
      </c>
    </row>
    <row r="765" spans="1:17" ht="14.25">
      <c r="A765">
        <v>761</v>
      </c>
      <c r="B765" t="str">
        <f t="shared" si="136"/>
        <v>166101</v>
      </c>
      <c r="C765" t="str">
        <f t="shared" si="137"/>
        <v>m. Opole</v>
      </c>
      <c r="D765">
        <f>""</f>
      </c>
      <c r="E765" t="str">
        <f t="shared" si="130"/>
        <v>opolskie</v>
      </c>
      <c r="F765">
        <v>19</v>
      </c>
      <c r="G765" t="str">
        <f>"Przedszkole Publiczne Nr 56, ul. Sieradzka 7"</f>
        <v>Przedszkole Publiczne Nr 56, ul. Sieradzka 7</v>
      </c>
      <c r="H765">
        <v>1672</v>
      </c>
      <c r="I765">
        <v>1599</v>
      </c>
      <c r="J765">
        <v>1095</v>
      </c>
      <c r="K765">
        <v>2</v>
      </c>
      <c r="L765">
        <v>504</v>
      </c>
      <c r="M765">
        <v>1095</v>
      </c>
      <c r="N765">
        <v>1081</v>
      </c>
      <c r="O765">
        <v>14</v>
      </c>
      <c r="P765">
        <v>251</v>
      </c>
      <c r="Q765">
        <v>830</v>
      </c>
    </row>
    <row r="766" spans="1:17" ht="14.25">
      <c r="A766">
        <v>762</v>
      </c>
      <c r="B766" t="str">
        <f t="shared" si="136"/>
        <v>166101</v>
      </c>
      <c r="C766" t="str">
        <f t="shared" si="137"/>
        <v>m. Opole</v>
      </c>
      <c r="D766">
        <f>""</f>
      </c>
      <c r="E766" t="str">
        <f t="shared" si="130"/>
        <v>opolskie</v>
      </c>
      <c r="F766">
        <v>20</v>
      </c>
      <c r="G766" t="str">
        <f>"Przedszkole Publiczne Nr 4, ul. Bielska 23"</f>
        <v>Przedszkole Publiczne Nr 4, ul. Bielska 23</v>
      </c>
      <c r="H766">
        <v>1843</v>
      </c>
      <c r="I766">
        <v>1677</v>
      </c>
      <c r="J766">
        <v>1160</v>
      </c>
      <c r="K766">
        <v>0</v>
      </c>
      <c r="L766">
        <v>517</v>
      </c>
      <c r="M766">
        <v>1158</v>
      </c>
      <c r="N766">
        <v>1141</v>
      </c>
      <c r="O766">
        <v>17</v>
      </c>
      <c r="P766">
        <v>279</v>
      </c>
      <c r="Q766">
        <v>862</v>
      </c>
    </row>
    <row r="767" spans="1:17" ht="14.25">
      <c r="A767">
        <v>763</v>
      </c>
      <c r="B767" t="str">
        <f t="shared" si="136"/>
        <v>166101</v>
      </c>
      <c r="C767" t="str">
        <f t="shared" si="137"/>
        <v>m. Opole</v>
      </c>
      <c r="D767">
        <f>""</f>
      </c>
      <c r="E767" t="str">
        <f t="shared" si="130"/>
        <v>opolskie</v>
      </c>
      <c r="F767">
        <v>21</v>
      </c>
      <c r="G767" t="str">
        <f>"Przedszkole Publiczne Nr 4, ul. Bielska 23"</f>
        <v>Przedszkole Publiczne Nr 4, ul. Bielska 23</v>
      </c>
      <c r="H767">
        <v>1313</v>
      </c>
      <c r="I767">
        <v>1278</v>
      </c>
      <c r="J767">
        <v>825</v>
      </c>
      <c r="K767">
        <v>0</v>
      </c>
      <c r="L767">
        <v>453</v>
      </c>
      <c r="M767">
        <v>825</v>
      </c>
      <c r="N767">
        <v>817</v>
      </c>
      <c r="O767">
        <v>8</v>
      </c>
      <c r="P767">
        <v>238</v>
      </c>
      <c r="Q767">
        <v>579</v>
      </c>
    </row>
    <row r="768" spans="1:17" ht="14.25">
      <c r="A768">
        <v>764</v>
      </c>
      <c r="B768" t="str">
        <f t="shared" si="136"/>
        <v>166101</v>
      </c>
      <c r="C768" t="str">
        <f t="shared" si="137"/>
        <v>m. Opole</v>
      </c>
      <c r="D768">
        <f>""</f>
      </c>
      <c r="E768" t="str">
        <f t="shared" si="130"/>
        <v>opolskie</v>
      </c>
      <c r="F768">
        <v>22</v>
      </c>
      <c r="G768" t="s">
        <v>28</v>
      </c>
      <c r="H768">
        <v>1669</v>
      </c>
      <c r="I768">
        <v>1600</v>
      </c>
      <c r="J768">
        <v>1067</v>
      </c>
      <c r="K768">
        <v>1</v>
      </c>
      <c r="L768">
        <v>533</v>
      </c>
      <c r="M768">
        <v>1067</v>
      </c>
      <c r="N768">
        <v>1054</v>
      </c>
      <c r="O768">
        <v>13</v>
      </c>
      <c r="P768">
        <v>206</v>
      </c>
      <c r="Q768">
        <v>848</v>
      </c>
    </row>
    <row r="769" spans="1:17" ht="14.25">
      <c r="A769">
        <v>765</v>
      </c>
      <c r="B769" t="str">
        <f t="shared" si="136"/>
        <v>166101</v>
      </c>
      <c r="C769" t="str">
        <f t="shared" si="137"/>
        <v>m. Opole</v>
      </c>
      <c r="D769">
        <f>""</f>
      </c>
      <c r="E769" t="str">
        <f t="shared" si="130"/>
        <v>opolskie</v>
      </c>
      <c r="F769">
        <v>23</v>
      </c>
      <c r="G769" t="str">
        <f>"Przedszkole Publiczne Nr 20, ul. Grudzicka 48"</f>
        <v>Przedszkole Publiczne Nr 20, ul. Grudzicka 48</v>
      </c>
      <c r="H769">
        <v>1992</v>
      </c>
      <c r="I769">
        <v>1923</v>
      </c>
      <c r="J769">
        <v>1210</v>
      </c>
      <c r="K769">
        <v>1</v>
      </c>
      <c r="L769">
        <v>713</v>
      </c>
      <c r="M769">
        <v>1210</v>
      </c>
      <c r="N769">
        <v>1199</v>
      </c>
      <c r="O769">
        <v>11</v>
      </c>
      <c r="P769">
        <v>281</v>
      </c>
      <c r="Q769">
        <v>918</v>
      </c>
    </row>
    <row r="770" spans="1:17" ht="14.25">
      <c r="A770">
        <v>766</v>
      </c>
      <c r="B770" t="str">
        <f t="shared" si="136"/>
        <v>166101</v>
      </c>
      <c r="C770" t="str">
        <f t="shared" si="137"/>
        <v>m. Opole</v>
      </c>
      <c r="D770">
        <f>""</f>
      </c>
      <c r="E770" t="str">
        <f t="shared" si="130"/>
        <v>opolskie</v>
      </c>
      <c r="F770">
        <v>24</v>
      </c>
      <c r="G770" t="str">
        <f>"Publiczna Szkoła Podstawowa Nr 20, ul. Grudzicka 48"</f>
        <v>Publiczna Szkoła Podstawowa Nr 20, ul. Grudzicka 48</v>
      </c>
      <c r="H770">
        <v>1511</v>
      </c>
      <c r="I770">
        <v>1440</v>
      </c>
      <c r="J770">
        <v>861</v>
      </c>
      <c r="K770">
        <v>0</v>
      </c>
      <c r="L770">
        <v>579</v>
      </c>
      <c r="M770">
        <v>861</v>
      </c>
      <c r="N770">
        <v>856</v>
      </c>
      <c r="O770">
        <v>5</v>
      </c>
      <c r="P770">
        <v>238</v>
      </c>
      <c r="Q770">
        <v>618</v>
      </c>
    </row>
    <row r="771" spans="1:17" ht="14.25">
      <c r="A771">
        <v>767</v>
      </c>
      <c r="B771" t="str">
        <f t="shared" si="136"/>
        <v>166101</v>
      </c>
      <c r="C771" t="str">
        <f t="shared" si="137"/>
        <v>m. Opole</v>
      </c>
      <c r="D771">
        <f>""</f>
      </c>
      <c r="E771" t="str">
        <f t="shared" si="130"/>
        <v>opolskie</v>
      </c>
      <c r="F771">
        <v>25</v>
      </c>
      <c r="G771" t="str">
        <f>"Wojew.Zakład Doskonalenia Zawodowego, ul.Małopolska 18, wejście od ul.Sosnkowskiego"</f>
        <v>Wojew.Zakład Doskonalenia Zawodowego, ul.Małopolska 18, wejście od ul.Sosnkowskiego</v>
      </c>
      <c r="H771">
        <v>1147</v>
      </c>
      <c r="I771">
        <v>1118</v>
      </c>
      <c r="J771">
        <v>750</v>
      </c>
      <c r="K771">
        <v>1</v>
      </c>
      <c r="L771">
        <v>368</v>
      </c>
      <c r="M771">
        <v>750</v>
      </c>
      <c r="N771">
        <v>739</v>
      </c>
      <c r="O771">
        <v>11</v>
      </c>
      <c r="P771">
        <v>197</v>
      </c>
      <c r="Q771">
        <v>542</v>
      </c>
    </row>
    <row r="772" spans="1:17" ht="14.25">
      <c r="A772">
        <v>768</v>
      </c>
      <c r="B772" t="str">
        <f t="shared" si="136"/>
        <v>166101</v>
      </c>
      <c r="C772" t="str">
        <f t="shared" si="137"/>
        <v>m. Opole</v>
      </c>
      <c r="D772">
        <f>""</f>
      </c>
      <c r="E772" t="str">
        <f t="shared" si="130"/>
        <v>opolskie</v>
      </c>
      <c r="F772">
        <v>26</v>
      </c>
      <c r="G772" t="s">
        <v>29</v>
      </c>
      <c r="H772">
        <v>1822</v>
      </c>
      <c r="I772">
        <v>1756</v>
      </c>
      <c r="J772">
        <v>1050</v>
      </c>
      <c r="K772">
        <v>1</v>
      </c>
      <c r="L772">
        <v>706</v>
      </c>
      <c r="M772">
        <v>1050</v>
      </c>
      <c r="N772">
        <v>1038</v>
      </c>
      <c r="O772">
        <v>12</v>
      </c>
      <c r="P772">
        <v>301</v>
      </c>
      <c r="Q772">
        <v>737</v>
      </c>
    </row>
    <row r="773" spans="1:17" ht="14.25">
      <c r="A773">
        <v>769</v>
      </c>
      <c r="B773" t="str">
        <f t="shared" si="136"/>
        <v>166101</v>
      </c>
      <c r="C773" t="str">
        <f t="shared" si="137"/>
        <v>m. Opole</v>
      </c>
      <c r="D773">
        <f>""</f>
      </c>
      <c r="E773" t="str">
        <f aca="true" t="shared" si="138" ref="E773:E816">"opolskie"</f>
        <v>opolskie</v>
      </c>
      <c r="F773">
        <v>27</v>
      </c>
      <c r="G773" t="str">
        <f>"Publiczna Szkoła Podstawowa Nr 26, ul. Groszowicka 12"</f>
        <v>Publiczna Szkoła Podstawowa Nr 26, ul. Groszowicka 12</v>
      </c>
      <c r="H773">
        <v>2420</v>
      </c>
      <c r="I773">
        <v>2235</v>
      </c>
      <c r="J773">
        <v>1309</v>
      </c>
      <c r="K773">
        <v>0</v>
      </c>
      <c r="L773">
        <v>926</v>
      </c>
      <c r="M773">
        <v>1309</v>
      </c>
      <c r="N773">
        <v>1291</v>
      </c>
      <c r="O773">
        <v>18</v>
      </c>
      <c r="P773">
        <v>285</v>
      </c>
      <c r="Q773">
        <v>1006</v>
      </c>
    </row>
    <row r="774" spans="1:17" ht="14.25">
      <c r="A774">
        <v>770</v>
      </c>
      <c r="B774" t="str">
        <f t="shared" si="136"/>
        <v>166101</v>
      </c>
      <c r="C774" t="str">
        <f t="shared" si="137"/>
        <v>m. Opole</v>
      </c>
      <c r="D774">
        <f>""</f>
      </c>
      <c r="E774" t="str">
        <f t="shared" si="138"/>
        <v>opolskie</v>
      </c>
      <c r="F774">
        <v>28</v>
      </c>
      <c r="G774" t="str">
        <f>"Publiczna Szkoła Podstawowa Stowarzyszenie Przyjaciół Szkół Katolickich, ul. Olimpijska 2"</f>
        <v>Publiczna Szkoła Podstawowa Stowarzyszenie Przyjaciół Szkół Katolickich, ul. Olimpijska 2</v>
      </c>
      <c r="H774">
        <v>1012</v>
      </c>
      <c r="I774">
        <v>964</v>
      </c>
      <c r="J774">
        <v>376</v>
      </c>
      <c r="K774">
        <v>0</v>
      </c>
      <c r="L774">
        <v>588</v>
      </c>
      <c r="M774">
        <v>376</v>
      </c>
      <c r="N774">
        <v>372</v>
      </c>
      <c r="O774">
        <v>4</v>
      </c>
      <c r="P774">
        <v>98</v>
      </c>
      <c r="Q774">
        <v>274</v>
      </c>
    </row>
    <row r="775" spans="1:17" ht="14.25">
      <c r="A775">
        <v>771</v>
      </c>
      <c r="B775" t="str">
        <f t="shared" si="136"/>
        <v>166101</v>
      </c>
      <c r="C775" t="str">
        <f t="shared" si="137"/>
        <v>m. Opole</v>
      </c>
      <c r="D775">
        <f>""</f>
      </c>
      <c r="E775" t="str">
        <f t="shared" si="138"/>
        <v>opolskie</v>
      </c>
      <c r="F775">
        <v>29</v>
      </c>
      <c r="G775" t="s">
        <v>30</v>
      </c>
      <c r="H775">
        <v>1400</v>
      </c>
      <c r="I775">
        <v>1374</v>
      </c>
      <c r="J775">
        <v>721</v>
      </c>
      <c r="K775">
        <v>0</v>
      </c>
      <c r="L775">
        <v>653</v>
      </c>
      <c r="M775">
        <v>721</v>
      </c>
      <c r="N775">
        <v>708</v>
      </c>
      <c r="O775">
        <v>13</v>
      </c>
      <c r="P775">
        <v>165</v>
      </c>
      <c r="Q775">
        <v>543</v>
      </c>
    </row>
    <row r="776" spans="1:17" ht="14.25">
      <c r="A776">
        <v>772</v>
      </c>
      <c r="B776" t="str">
        <f t="shared" si="136"/>
        <v>166101</v>
      </c>
      <c r="C776" t="str">
        <f t="shared" si="137"/>
        <v>m. Opole</v>
      </c>
      <c r="D776">
        <f>""</f>
      </c>
      <c r="E776" t="str">
        <f t="shared" si="138"/>
        <v>opolskie</v>
      </c>
      <c r="F776">
        <v>30</v>
      </c>
      <c r="G776" t="str">
        <f>"Przedszkole Publiczne Nr 44, ul. Oświęcimska 94"</f>
        <v>Przedszkole Publiczne Nr 44, ul. Oświęcimska 94</v>
      </c>
      <c r="H776">
        <v>1207</v>
      </c>
      <c r="I776">
        <v>1121</v>
      </c>
      <c r="J776">
        <v>620</v>
      </c>
      <c r="K776">
        <v>0</v>
      </c>
      <c r="L776">
        <v>501</v>
      </c>
      <c r="M776">
        <v>620</v>
      </c>
      <c r="N776">
        <v>617</v>
      </c>
      <c r="O776">
        <v>3</v>
      </c>
      <c r="P776">
        <v>172</v>
      </c>
      <c r="Q776">
        <v>445</v>
      </c>
    </row>
    <row r="777" spans="1:17" ht="14.25">
      <c r="A777">
        <v>773</v>
      </c>
      <c r="B777" t="str">
        <f t="shared" si="136"/>
        <v>166101</v>
      </c>
      <c r="C777" t="str">
        <f t="shared" si="137"/>
        <v>m. Opole</v>
      </c>
      <c r="D777">
        <f>""</f>
      </c>
      <c r="E777" t="str">
        <f t="shared" si="138"/>
        <v>opolskie</v>
      </c>
      <c r="F777">
        <v>31</v>
      </c>
      <c r="G777" t="str">
        <f>"Publiczna Szkoła Podstawowa Nr 24, ul. Gorzołki 4"</f>
        <v>Publiczna Szkoła Podstawowa Nr 24, ul. Gorzołki 4</v>
      </c>
      <c r="H777">
        <v>1254</v>
      </c>
      <c r="I777">
        <v>1200</v>
      </c>
      <c r="J777">
        <v>463</v>
      </c>
      <c r="K777">
        <v>0</v>
      </c>
      <c r="L777">
        <v>737</v>
      </c>
      <c r="M777">
        <v>463</v>
      </c>
      <c r="N777">
        <v>457</v>
      </c>
      <c r="O777">
        <v>6</v>
      </c>
      <c r="P777">
        <v>107</v>
      </c>
      <c r="Q777">
        <v>350</v>
      </c>
    </row>
    <row r="778" spans="1:17" ht="14.25">
      <c r="A778">
        <v>774</v>
      </c>
      <c r="B778" t="str">
        <f t="shared" si="136"/>
        <v>166101</v>
      </c>
      <c r="C778" t="str">
        <f t="shared" si="137"/>
        <v>m. Opole</v>
      </c>
      <c r="D778">
        <f>""</f>
      </c>
      <c r="E778" t="str">
        <f t="shared" si="138"/>
        <v>opolskie</v>
      </c>
      <c r="F778">
        <v>32</v>
      </c>
      <c r="G778" t="str">
        <f>"Publiczna Szkoła Podstawowa Nr 24, ul. Gorzołki 4"</f>
        <v>Publiczna Szkoła Podstawowa Nr 24, ul. Gorzołki 4</v>
      </c>
      <c r="H778">
        <v>1151</v>
      </c>
      <c r="I778">
        <v>1120</v>
      </c>
      <c r="J778">
        <v>501</v>
      </c>
      <c r="K778">
        <v>1</v>
      </c>
      <c r="L778">
        <v>619</v>
      </c>
      <c r="M778">
        <v>501</v>
      </c>
      <c r="N778">
        <v>492</v>
      </c>
      <c r="O778">
        <v>9</v>
      </c>
      <c r="P778">
        <v>120</v>
      </c>
      <c r="Q778">
        <v>372</v>
      </c>
    </row>
    <row r="779" spans="1:17" ht="14.25">
      <c r="A779">
        <v>775</v>
      </c>
      <c r="B779" t="str">
        <f aca="true" t="shared" si="139" ref="B779:B810">"166101"</f>
        <v>166101</v>
      </c>
      <c r="C779" t="str">
        <f aca="true" t="shared" si="140" ref="C779:C810">"m. Opole"</f>
        <v>m. Opole</v>
      </c>
      <c r="D779">
        <f>""</f>
      </c>
      <c r="E779" t="str">
        <f t="shared" si="138"/>
        <v>opolskie</v>
      </c>
      <c r="F779">
        <v>33</v>
      </c>
      <c r="G779" t="str">
        <f>"Publiczna Szkoła Podstawowa Nr 16, ul. Zofii Nałkowskiej 16"</f>
        <v>Publiczna Szkoła Podstawowa Nr 16, ul. Zofii Nałkowskiej 16</v>
      </c>
      <c r="H779">
        <v>2273</v>
      </c>
      <c r="I779">
        <v>2082</v>
      </c>
      <c r="J779">
        <v>1121</v>
      </c>
      <c r="K779">
        <v>0</v>
      </c>
      <c r="L779">
        <v>961</v>
      </c>
      <c r="M779">
        <v>1121</v>
      </c>
      <c r="N779">
        <v>1113</v>
      </c>
      <c r="O779">
        <v>8</v>
      </c>
      <c r="P779">
        <v>270</v>
      </c>
      <c r="Q779">
        <v>843</v>
      </c>
    </row>
    <row r="780" spans="1:17" ht="14.25">
      <c r="A780">
        <v>776</v>
      </c>
      <c r="B780" t="str">
        <f t="shared" si="139"/>
        <v>166101</v>
      </c>
      <c r="C780" t="str">
        <f t="shared" si="140"/>
        <v>m. Opole</v>
      </c>
      <c r="D780">
        <f>""</f>
      </c>
      <c r="E780" t="str">
        <f t="shared" si="138"/>
        <v>opolskie</v>
      </c>
      <c r="F780">
        <v>34</v>
      </c>
      <c r="G780" t="str">
        <f>"Przedszkole Publiczne Nr 16, Al. Przyjaźni 26"</f>
        <v>Przedszkole Publiczne Nr 16, Al. Przyjaźni 26</v>
      </c>
      <c r="H780">
        <v>1204</v>
      </c>
      <c r="I780">
        <v>1121</v>
      </c>
      <c r="J780">
        <v>600</v>
      </c>
      <c r="K780">
        <v>1</v>
      </c>
      <c r="L780">
        <v>520</v>
      </c>
      <c r="M780">
        <v>598</v>
      </c>
      <c r="N780">
        <v>591</v>
      </c>
      <c r="O780">
        <v>7</v>
      </c>
      <c r="P780">
        <v>148</v>
      </c>
      <c r="Q780">
        <v>443</v>
      </c>
    </row>
    <row r="781" spans="1:17" ht="14.25">
      <c r="A781">
        <v>777</v>
      </c>
      <c r="B781" t="str">
        <f t="shared" si="139"/>
        <v>166101</v>
      </c>
      <c r="C781" t="str">
        <f t="shared" si="140"/>
        <v>m. Opole</v>
      </c>
      <c r="D781">
        <f>""</f>
      </c>
      <c r="E781" t="str">
        <f t="shared" si="138"/>
        <v>opolskie</v>
      </c>
      <c r="F781">
        <v>35</v>
      </c>
      <c r="G781" t="str">
        <f>"Publiczne Gimnazjum Nr 2, ul. Władysława Reymonta 43"</f>
        <v>Publiczne Gimnazjum Nr 2, ul. Władysława Reymonta 43</v>
      </c>
      <c r="H781">
        <v>1898</v>
      </c>
      <c r="I781">
        <v>1840</v>
      </c>
      <c r="J781">
        <v>1061</v>
      </c>
      <c r="K781">
        <v>2</v>
      </c>
      <c r="L781">
        <v>779</v>
      </c>
      <c r="M781">
        <v>1061</v>
      </c>
      <c r="N781">
        <v>1050</v>
      </c>
      <c r="O781">
        <v>11</v>
      </c>
      <c r="P781">
        <v>326</v>
      </c>
      <c r="Q781">
        <v>724</v>
      </c>
    </row>
    <row r="782" spans="1:17" ht="14.25">
      <c r="A782">
        <v>778</v>
      </c>
      <c r="B782" t="str">
        <f t="shared" si="139"/>
        <v>166101</v>
      </c>
      <c r="C782" t="str">
        <f t="shared" si="140"/>
        <v>m. Opole</v>
      </c>
      <c r="D782">
        <f>""</f>
      </c>
      <c r="E782" t="str">
        <f t="shared" si="138"/>
        <v>opolskie</v>
      </c>
      <c r="F782">
        <v>36</v>
      </c>
      <c r="G782" t="str">
        <f>"Zespół Szkół Elektrycznych, ul. Tadeusza Kościuszki 39"</f>
        <v>Zespół Szkół Elektrycznych, ul. Tadeusza Kościuszki 39</v>
      </c>
      <c r="H782">
        <v>2025</v>
      </c>
      <c r="I782">
        <v>1913</v>
      </c>
      <c r="J782">
        <v>1168</v>
      </c>
      <c r="K782">
        <v>2</v>
      </c>
      <c r="L782">
        <v>745</v>
      </c>
      <c r="M782">
        <v>1168</v>
      </c>
      <c r="N782">
        <v>1154</v>
      </c>
      <c r="O782">
        <v>14</v>
      </c>
      <c r="P782">
        <v>291</v>
      </c>
      <c r="Q782">
        <v>863</v>
      </c>
    </row>
    <row r="783" spans="1:17" ht="14.25">
      <c r="A783">
        <v>779</v>
      </c>
      <c r="B783" t="str">
        <f t="shared" si="139"/>
        <v>166101</v>
      </c>
      <c r="C783" t="str">
        <f t="shared" si="140"/>
        <v>m. Opole</v>
      </c>
      <c r="D783">
        <f>""</f>
      </c>
      <c r="E783" t="str">
        <f t="shared" si="138"/>
        <v>opolskie</v>
      </c>
      <c r="F783">
        <v>37</v>
      </c>
      <c r="G783" t="str">
        <f>"Publiczne Gimnazjum Nr 5, ul. Ozimska 48"</f>
        <v>Publiczne Gimnazjum Nr 5, ul. Ozimska 48</v>
      </c>
      <c r="H783">
        <v>2044</v>
      </c>
      <c r="I783">
        <v>1920</v>
      </c>
      <c r="J783">
        <v>1170</v>
      </c>
      <c r="K783">
        <v>3</v>
      </c>
      <c r="L783">
        <v>750</v>
      </c>
      <c r="M783">
        <v>1170</v>
      </c>
      <c r="N783">
        <v>1158</v>
      </c>
      <c r="O783">
        <v>12</v>
      </c>
      <c r="P783">
        <v>347</v>
      </c>
      <c r="Q783">
        <v>811</v>
      </c>
    </row>
    <row r="784" spans="1:17" ht="14.25">
      <c r="A784">
        <v>780</v>
      </c>
      <c r="B784" t="str">
        <f t="shared" si="139"/>
        <v>166101</v>
      </c>
      <c r="C784" t="str">
        <f t="shared" si="140"/>
        <v>m. Opole</v>
      </c>
      <c r="D784">
        <f>""</f>
      </c>
      <c r="E784" t="str">
        <f t="shared" si="138"/>
        <v>opolskie</v>
      </c>
      <c r="F784">
        <v>38</v>
      </c>
      <c r="G784" t="str">
        <f>"Publiczne Gimnazjum Nr 4, ul. 1 Maja 145"</f>
        <v>Publiczne Gimnazjum Nr 4, ul. 1 Maja 145</v>
      </c>
      <c r="H784">
        <v>2162</v>
      </c>
      <c r="I784">
        <v>2000</v>
      </c>
      <c r="J784">
        <v>1213</v>
      </c>
      <c r="K784">
        <v>0</v>
      </c>
      <c r="L784">
        <v>787</v>
      </c>
      <c r="M784">
        <v>1213</v>
      </c>
      <c r="N784">
        <v>1200</v>
      </c>
      <c r="O784">
        <v>13</v>
      </c>
      <c r="P784">
        <v>337</v>
      </c>
      <c r="Q784">
        <v>863</v>
      </c>
    </row>
    <row r="785" spans="1:17" ht="14.25">
      <c r="A785">
        <v>781</v>
      </c>
      <c r="B785" t="str">
        <f t="shared" si="139"/>
        <v>166101</v>
      </c>
      <c r="C785" t="str">
        <f t="shared" si="140"/>
        <v>m. Opole</v>
      </c>
      <c r="D785">
        <f>""</f>
      </c>
      <c r="E785" t="str">
        <f t="shared" si="138"/>
        <v>opolskie</v>
      </c>
      <c r="F785">
        <v>39</v>
      </c>
      <c r="G785" t="str">
        <f>"Zespół Szkolno-Przedszkolny Nr 1 Publiczna Szkoła Podstawowa Nr 28, ul. Bogumiła Wyszomirskiego 6"</f>
        <v>Zespół Szkolno-Przedszkolny Nr 1 Publiczna Szkoła Podstawowa Nr 28, ul. Bogumiła Wyszomirskiego 6</v>
      </c>
      <c r="H785">
        <v>984</v>
      </c>
      <c r="I785">
        <v>960</v>
      </c>
      <c r="J785">
        <v>449</v>
      </c>
      <c r="K785">
        <v>0</v>
      </c>
      <c r="L785">
        <v>511</v>
      </c>
      <c r="M785">
        <v>449</v>
      </c>
      <c r="N785">
        <v>443</v>
      </c>
      <c r="O785">
        <v>6</v>
      </c>
      <c r="P785">
        <v>95</v>
      </c>
      <c r="Q785">
        <v>348</v>
      </c>
    </row>
    <row r="786" spans="1:17" ht="14.25">
      <c r="A786">
        <v>782</v>
      </c>
      <c r="B786" t="str">
        <f t="shared" si="139"/>
        <v>166101</v>
      </c>
      <c r="C786" t="str">
        <f t="shared" si="140"/>
        <v>m. Opole</v>
      </c>
      <c r="D786">
        <f>""</f>
      </c>
      <c r="E786" t="str">
        <f t="shared" si="138"/>
        <v>opolskie</v>
      </c>
      <c r="F786">
        <v>40</v>
      </c>
      <c r="G786" t="str">
        <f>"Publiczna Szkoła Podstawowa Nr 10, ul. Walerego Wróblewskiego 7"</f>
        <v>Publiczna Szkoła Podstawowa Nr 10, ul. Walerego Wróblewskiego 7</v>
      </c>
      <c r="H786">
        <v>1184</v>
      </c>
      <c r="I786">
        <v>1120</v>
      </c>
      <c r="J786">
        <v>641</v>
      </c>
      <c r="K786">
        <v>0</v>
      </c>
      <c r="L786">
        <v>479</v>
      </c>
      <c r="M786">
        <v>639</v>
      </c>
      <c r="N786">
        <v>636</v>
      </c>
      <c r="O786">
        <v>3</v>
      </c>
      <c r="P786">
        <v>163</v>
      </c>
      <c r="Q786">
        <v>473</v>
      </c>
    </row>
    <row r="787" spans="1:17" ht="14.25">
      <c r="A787">
        <v>783</v>
      </c>
      <c r="B787" t="str">
        <f t="shared" si="139"/>
        <v>166101</v>
      </c>
      <c r="C787" t="str">
        <f t="shared" si="140"/>
        <v>m. Opole</v>
      </c>
      <c r="D787">
        <f>""</f>
      </c>
      <c r="E787" t="str">
        <f t="shared" si="138"/>
        <v>opolskie</v>
      </c>
      <c r="F787">
        <v>41</v>
      </c>
      <c r="G787" t="str">
        <f>"Publiczna Szkola Podstawowa Nr 10, ul.Walerego Wróblewskiego 7"</f>
        <v>Publiczna Szkola Podstawowa Nr 10, ul.Walerego Wróblewskiego 7</v>
      </c>
      <c r="H787">
        <v>1403</v>
      </c>
      <c r="I787">
        <v>1279</v>
      </c>
      <c r="J787">
        <v>864</v>
      </c>
      <c r="K787">
        <v>0</v>
      </c>
      <c r="L787">
        <v>415</v>
      </c>
      <c r="M787">
        <v>864</v>
      </c>
      <c r="N787">
        <v>852</v>
      </c>
      <c r="O787">
        <v>12</v>
      </c>
      <c r="P787">
        <v>182</v>
      </c>
      <c r="Q787">
        <v>670</v>
      </c>
    </row>
    <row r="788" spans="1:17" ht="14.25">
      <c r="A788">
        <v>784</v>
      </c>
      <c r="B788" t="str">
        <f t="shared" si="139"/>
        <v>166101</v>
      </c>
      <c r="C788" t="str">
        <f t="shared" si="140"/>
        <v>m. Opole</v>
      </c>
      <c r="D788">
        <f>""</f>
      </c>
      <c r="E788" t="str">
        <f t="shared" si="138"/>
        <v>opolskie</v>
      </c>
      <c r="F788">
        <v>42</v>
      </c>
      <c r="G788" t="str">
        <f>"Publiczne Gimnazjum Nr 8, ul. Joachima Lelewela 9"</f>
        <v>Publiczne Gimnazjum Nr 8, ul. Joachima Lelewela 9</v>
      </c>
      <c r="H788">
        <v>1925</v>
      </c>
      <c r="I788">
        <v>1760</v>
      </c>
      <c r="J788">
        <v>1225</v>
      </c>
      <c r="K788">
        <v>1</v>
      </c>
      <c r="L788">
        <v>535</v>
      </c>
      <c r="M788">
        <v>1225</v>
      </c>
      <c r="N788">
        <v>1214</v>
      </c>
      <c r="O788">
        <v>11</v>
      </c>
      <c r="P788">
        <v>387</v>
      </c>
      <c r="Q788">
        <v>827</v>
      </c>
    </row>
    <row r="789" spans="1:17" ht="14.25">
      <c r="A789">
        <v>785</v>
      </c>
      <c r="B789" t="str">
        <f t="shared" si="139"/>
        <v>166101</v>
      </c>
      <c r="C789" t="str">
        <f t="shared" si="140"/>
        <v>m. Opole</v>
      </c>
      <c r="D789">
        <f>""</f>
      </c>
      <c r="E789" t="str">
        <f t="shared" si="138"/>
        <v>opolskie</v>
      </c>
      <c r="F789">
        <v>43</v>
      </c>
      <c r="G789" t="s">
        <v>31</v>
      </c>
      <c r="H789">
        <v>1617</v>
      </c>
      <c r="I789">
        <v>1599</v>
      </c>
      <c r="J789">
        <v>1073</v>
      </c>
      <c r="K789">
        <v>2</v>
      </c>
      <c r="L789">
        <v>526</v>
      </c>
      <c r="M789">
        <v>1073</v>
      </c>
      <c r="N789">
        <v>1059</v>
      </c>
      <c r="O789">
        <v>14</v>
      </c>
      <c r="P789">
        <v>278</v>
      </c>
      <c r="Q789">
        <v>781</v>
      </c>
    </row>
    <row r="790" spans="1:17" ht="14.25">
      <c r="A790">
        <v>786</v>
      </c>
      <c r="B790" t="str">
        <f t="shared" si="139"/>
        <v>166101</v>
      </c>
      <c r="C790" t="str">
        <f t="shared" si="140"/>
        <v>m. Opole</v>
      </c>
      <c r="D790">
        <f>""</f>
      </c>
      <c r="E790" t="str">
        <f t="shared" si="138"/>
        <v>opolskie</v>
      </c>
      <c r="F790">
        <v>44</v>
      </c>
      <c r="G790" t="str">
        <f>"Zespół Szkół Technicznych i Ogólnokształcących, ul. Józefa Hallera 6"</f>
        <v>Zespół Szkół Technicznych i Ogólnokształcących, ul. Józefa Hallera 6</v>
      </c>
      <c r="H790">
        <v>1590</v>
      </c>
      <c r="I790">
        <v>1440</v>
      </c>
      <c r="J790">
        <v>1003</v>
      </c>
      <c r="K790">
        <v>0</v>
      </c>
      <c r="L790">
        <v>437</v>
      </c>
      <c r="M790">
        <v>1003</v>
      </c>
      <c r="N790">
        <v>998</v>
      </c>
      <c r="O790">
        <v>5</v>
      </c>
      <c r="P790">
        <v>257</v>
      </c>
      <c r="Q790">
        <v>741</v>
      </c>
    </row>
    <row r="791" spans="1:17" ht="14.25">
      <c r="A791">
        <v>787</v>
      </c>
      <c r="B791" t="str">
        <f t="shared" si="139"/>
        <v>166101</v>
      </c>
      <c r="C791" t="str">
        <f t="shared" si="140"/>
        <v>m. Opole</v>
      </c>
      <c r="D791">
        <f>""</f>
      </c>
      <c r="E791" t="str">
        <f t="shared" si="138"/>
        <v>opolskie</v>
      </c>
      <c r="F791">
        <v>45</v>
      </c>
      <c r="G791" t="str">
        <f>"Przedszkole Publiczne Nr 43, ul. Prószkowska 5A"</f>
        <v>Przedszkole Publiczne Nr 43, ul. Prószkowska 5A</v>
      </c>
      <c r="H791">
        <v>1256</v>
      </c>
      <c r="I791">
        <v>1200</v>
      </c>
      <c r="J791">
        <v>846</v>
      </c>
      <c r="K791">
        <v>1</v>
      </c>
      <c r="L791">
        <v>354</v>
      </c>
      <c r="M791">
        <v>846</v>
      </c>
      <c r="N791">
        <v>834</v>
      </c>
      <c r="O791">
        <v>12</v>
      </c>
      <c r="P791">
        <v>226</v>
      </c>
      <c r="Q791">
        <v>608</v>
      </c>
    </row>
    <row r="792" spans="1:17" ht="14.25">
      <c r="A792">
        <v>788</v>
      </c>
      <c r="B792" t="str">
        <f t="shared" si="139"/>
        <v>166101</v>
      </c>
      <c r="C792" t="str">
        <f t="shared" si="140"/>
        <v>m. Opole</v>
      </c>
      <c r="D792">
        <f>""</f>
      </c>
      <c r="E792" t="str">
        <f t="shared" si="138"/>
        <v>opolskie</v>
      </c>
      <c r="F792">
        <v>46</v>
      </c>
      <c r="G792" t="str">
        <f>"Publiczne Gminazjum Nr 6, ul. Powstańców Śląskich 19"</f>
        <v>Publiczne Gminazjum Nr 6, ul. Powstańców Śląskich 19</v>
      </c>
      <c r="H792">
        <v>1362</v>
      </c>
      <c r="I792">
        <v>1381</v>
      </c>
      <c r="J792">
        <v>886</v>
      </c>
      <c r="K792">
        <v>4</v>
      </c>
      <c r="L792">
        <v>495</v>
      </c>
      <c r="M792">
        <v>886</v>
      </c>
      <c r="N792">
        <v>872</v>
      </c>
      <c r="O792">
        <v>14</v>
      </c>
      <c r="P792">
        <v>176</v>
      </c>
      <c r="Q792">
        <v>696</v>
      </c>
    </row>
    <row r="793" spans="1:17" ht="14.25">
      <c r="A793">
        <v>789</v>
      </c>
      <c r="B793" t="str">
        <f t="shared" si="139"/>
        <v>166101</v>
      </c>
      <c r="C793" t="str">
        <f t="shared" si="140"/>
        <v>m. Opole</v>
      </c>
      <c r="D793">
        <f>""</f>
      </c>
      <c r="E793" t="str">
        <f t="shared" si="138"/>
        <v>opolskie</v>
      </c>
      <c r="F793">
        <v>47</v>
      </c>
      <c r="G793" t="str">
        <f>"Publiczna Szkoła Podstawowa Nr 1, Pl. Ignacego Daszyńskiego 3"</f>
        <v>Publiczna Szkoła Podstawowa Nr 1, Pl. Ignacego Daszyńskiego 3</v>
      </c>
      <c r="H793">
        <v>1270</v>
      </c>
      <c r="I793">
        <v>1200</v>
      </c>
      <c r="J793">
        <v>705</v>
      </c>
      <c r="K793">
        <v>2</v>
      </c>
      <c r="L793">
        <v>495</v>
      </c>
      <c r="M793">
        <v>704</v>
      </c>
      <c r="N793">
        <v>693</v>
      </c>
      <c r="O793">
        <v>11</v>
      </c>
      <c r="P793">
        <v>183</v>
      </c>
      <c r="Q793">
        <v>510</v>
      </c>
    </row>
    <row r="794" spans="1:17" ht="14.25">
      <c r="A794">
        <v>790</v>
      </c>
      <c r="B794" t="str">
        <f t="shared" si="139"/>
        <v>166101</v>
      </c>
      <c r="C794" t="str">
        <f t="shared" si="140"/>
        <v>m. Opole</v>
      </c>
      <c r="D794">
        <f>""</f>
      </c>
      <c r="E794" t="str">
        <f t="shared" si="138"/>
        <v>opolskie</v>
      </c>
      <c r="F794">
        <v>48</v>
      </c>
      <c r="G794" t="str">
        <f>"Zespół Szkół Mechanicznych, ul. Edmunda Osmańczyka 22"</f>
        <v>Zespół Szkół Mechanicznych, ul. Edmunda Osmańczyka 22</v>
      </c>
      <c r="H794">
        <v>1702</v>
      </c>
      <c r="I794">
        <v>1519</v>
      </c>
      <c r="J794">
        <v>1011</v>
      </c>
      <c r="K794">
        <v>2</v>
      </c>
      <c r="L794">
        <v>508</v>
      </c>
      <c r="M794">
        <v>1009</v>
      </c>
      <c r="N794">
        <v>997</v>
      </c>
      <c r="O794">
        <v>12</v>
      </c>
      <c r="P794">
        <v>304</v>
      </c>
      <c r="Q794">
        <v>693</v>
      </c>
    </row>
    <row r="795" spans="1:17" ht="14.25">
      <c r="A795">
        <v>791</v>
      </c>
      <c r="B795" t="str">
        <f t="shared" si="139"/>
        <v>166101</v>
      </c>
      <c r="C795" t="str">
        <f t="shared" si="140"/>
        <v>m. Opole</v>
      </c>
      <c r="D795">
        <f>""</f>
      </c>
      <c r="E795" t="str">
        <f t="shared" si="138"/>
        <v>opolskie</v>
      </c>
      <c r="F795">
        <v>49</v>
      </c>
      <c r="G795" t="str">
        <f>"Urząd Miasta Opola - Wydział Oświaty, ul. Henryka Sienkiewicza 6"</f>
        <v>Urząd Miasta Opola - Wydział Oświaty, ul. Henryka Sienkiewicza 6</v>
      </c>
      <c r="H795">
        <v>1812</v>
      </c>
      <c r="I795">
        <v>1680</v>
      </c>
      <c r="J795">
        <v>1053</v>
      </c>
      <c r="K795">
        <v>0</v>
      </c>
      <c r="L795">
        <v>627</v>
      </c>
      <c r="M795">
        <v>1053</v>
      </c>
      <c r="N795">
        <v>1033</v>
      </c>
      <c r="O795">
        <v>20</v>
      </c>
      <c r="P795">
        <v>300</v>
      </c>
      <c r="Q795">
        <v>733</v>
      </c>
    </row>
    <row r="796" spans="1:17" ht="14.25">
      <c r="A796">
        <v>792</v>
      </c>
      <c r="B796" t="str">
        <f t="shared" si="139"/>
        <v>166101</v>
      </c>
      <c r="C796" t="str">
        <f t="shared" si="140"/>
        <v>m. Opole</v>
      </c>
      <c r="D796">
        <f>""</f>
      </c>
      <c r="E796" t="str">
        <f t="shared" si="138"/>
        <v>opolskie</v>
      </c>
      <c r="F796">
        <v>50</v>
      </c>
      <c r="G796" t="str">
        <f>"Przedszkole Publiczne Nr 25, Pl. Teatralny 14"</f>
        <v>Przedszkole Publiczne Nr 25, Pl. Teatralny 14</v>
      </c>
      <c r="H796">
        <v>2174</v>
      </c>
      <c r="I796">
        <v>1998</v>
      </c>
      <c r="J796">
        <v>1395</v>
      </c>
      <c r="K796">
        <v>2</v>
      </c>
      <c r="L796">
        <v>603</v>
      </c>
      <c r="M796">
        <v>1395</v>
      </c>
      <c r="N796">
        <v>1378</v>
      </c>
      <c r="O796">
        <v>17</v>
      </c>
      <c r="P796">
        <v>382</v>
      </c>
      <c r="Q796">
        <v>996</v>
      </c>
    </row>
    <row r="797" spans="1:17" ht="14.25">
      <c r="A797">
        <v>793</v>
      </c>
      <c r="B797" t="str">
        <f t="shared" si="139"/>
        <v>166101</v>
      </c>
      <c r="C797" t="str">
        <f t="shared" si="140"/>
        <v>m. Opole</v>
      </c>
      <c r="D797">
        <f>""</f>
      </c>
      <c r="E797" t="str">
        <f t="shared" si="138"/>
        <v>opolskie</v>
      </c>
      <c r="F797">
        <v>51</v>
      </c>
      <c r="G797" t="str">
        <f>"Publiczne Liceum Ogólnokształcące Nr II z Oddziałami Dwujęzycznymi, ul. Generała Kazimierza Pułaskiego 3"</f>
        <v>Publiczne Liceum Ogólnokształcące Nr II z Oddziałami Dwujęzycznymi, ul. Generała Kazimierza Pułaskiego 3</v>
      </c>
      <c r="H797">
        <v>1552</v>
      </c>
      <c r="I797">
        <v>1440</v>
      </c>
      <c r="J797">
        <v>987</v>
      </c>
      <c r="K797">
        <v>2</v>
      </c>
      <c r="L797">
        <v>453</v>
      </c>
      <c r="M797">
        <v>987</v>
      </c>
      <c r="N797">
        <v>976</v>
      </c>
      <c r="O797">
        <v>11</v>
      </c>
      <c r="P797">
        <v>235</v>
      </c>
      <c r="Q797">
        <v>741</v>
      </c>
    </row>
    <row r="798" spans="1:17" ht="14.25">
      <c r="A798">
        <v>794</v>
      </c>
      <c r="B798" t="str">
        <f t="shared" si="139"/>
        <v>166101</v>
      </c>
      <c r="C798" t="str">
        <f t="shared" si="140"/>
        <v>m. Opole</v>
      </c>
      <c r="D798">
        <f>""</f>
      </c>
      <c r="E798" t="str">
        <f t="shared" si="138"/>
        <v>opolskie</v>
      </c>
      <c r="F798">
        <v>52</v>
      </c>
      <c r="G798" t="str">
        <f>"Budynek Politechniki Opolskiej, ul. Ozimska 75"</f>
        <v>Budynek Politechniki Opolskiej, ul. Ozimska 75</v>
      </c>
      <c r="H798">
        <v>1554</v>
      </c>
      <c r="I798">
        <v>1440</v>
      </c>
      <c r="J798">
        <v>869</v>
      </c>
      <c r="K798">
        <v>2</v>
      </c>
      <c r="L798">
        <v>571</v>
      </c>
      <c r="M798">
        <v>869</v>
      </c>
      <c r="N798">
        <v>857</v>
      </c>
      <c r="O798">
        <v>12</v>
      </c>
      <c r="P798">
        <v>220</v>
      </c>
      <c r="Q798">
        <v>637</v>
      </c>
    </row>
    <row r="799" spans="1:17" ht="14.25">
      <c r="A799">
        <v>795</v>
      </c>
      <c r="B799" t="str">
        <f t="shared" si="139"/>
        <v>166101</v>
      </c>
      <c r="C799" t="str">
        <f t="shared" si="140"/>
        <v>m. Opole</v>
      </c>
      <c r="D799">
        <f>""</f>
      </c>
      <c r="E799" t="str">
        <f t="shared" si="138"/>
        <v>opolskie</v>
      </c>
      <c r="F799">
        <v>53</v>
      </c>
      <c r="G799" t="str">
        <f>"Przedszkole Publiczne Nr 21, ul. Wojciecha Drzymały 28"</f>
        <v>Przedszkole Publiczne Nr 21, ul. Wojciecha Drzymały 28</v>
      </c>
      <c r="H799">
        <v>1440</v>
      </c>
      <c r="I799">
        <v>1440</v>
      </c>
      <c r="J799">
        <v>838</v>
      </c>
      <c r="K799">
        <v>0</v>
      </c>
      <c r="L799">
        <v>602</v>
      </c>
      <c r="M799">
        <v>838</v>
      </c>
      <c r="N799">
        <v>832</v>
      </c>
      <c r="O799">
        <v>6</v>
      </c>
      <c r="P799">
        <v>257</v>
      </c>
      <c r="Q799">
        <v>575</v>
      </c>
    </row>
    <row r="800" spans="1:17" ht="14.25">
      <c r="A800">
        <v>796</v>
      </c>
      <c r="B800" t="str">
        <f t="shared" si="139"/>
        <v>166101</v>
      </c>
      <c r="C800" t="str">
        <f t="shared" si="140"/>
        <v>m. Opole</v>
      </c>
      <c r="D800">
        <f>""</f>
      </c>
      <c r="E800" t="str">
        <f t="shared" si="138"/>
        <v>opolskie</v>
      </c>
      <c r="F800">
        <v>54</v>
      </c>
      <c r="G800" t="s">
        <v>32</v>
      </c>
      <c r="H800">
        <v>1621</v>
      </c>
      <c r="I800">
        <v>1523</v>
      </c>
      <c r="J800">
        <v>1004</v>
      </c>
      <c r="K800">
        <v>0</v>
      </c>
      <c r="L800">
        <v>519</v>
      </c>
      <c r="M800">
        <v>1004</v>
      </c>
      <c r="N800">
        <v>990</v>
      </c>
      <c r="O800">
        <v>14</v>
      </c>
      <c r="P800">
        <v>268</v>
      </c>
      <c r="Q800">
        <v>722</v>
      </c>
    </row>
    <row r="801" spans="1:17" ht="14.25">
      <c r="A801">
        <v>797</v>
      </c>
      <c r="B801" t="str">
        <f t="shared" si="139"/>
        <v>166101</v>
      </c>
      <c r="C801" t="str">
        <f t="shared" si="140"/>
        <v>m. Opole</v>
      </c>
      <c r="D801">
        <f>""</f>
      </c>
      <c r="E801" t="str">
        <f t="shared" si="138"/>
        <v>opolskie</v>
      </c>
      <c r="F801">
        <v>55</v>
      </c>
      <c r="G801" t="str">
        <f>"Politechnika Opolska Budynek Rektoratu, ul. Stanisława Mikołajczyka 5"</f>
        <v>Politechnika Opolska Budynek Rektoratu, ul. Stanisława Mikołajczyka 5</v>
      </c>
      <c r="H801">
        <v>1050</v>
      </c>
      <c r="I801">
        <v>1039</v>
      </c>
      <c r="J801">
        <v>635</v>
      </c>
      <c r="K801">
        <v>0</v>
      </c>
      <c r="L801">
        <v>404</v>
      </c>
      <c r="M801">
        <v>635</v>
      </c>
      <c r="N801">
        <v>623</v>
      </c>
      <c r="O801">
        <v>12</v>
      </c>
      <c r="P801">
        <v>169</v>
      </c>
      <c r="Q801">
        <v>454</v>
      </c>
    </row>
    <row r="802" spans="1:17" ht="14.25">
      <c r="A802">
        <v>798</v>
      </c>
      <c r="B802" t="str">
        <f t="shared" si="139"/>
        <v>166101</v>
      </c>
      <c r="C802" t="str">
        <f t="shared" si="140"/>
        <v>m. Opole</v>
      </c>
      <c r="D802">
        <f>""</f>
      </c>
      <c r="E802" t="str">
        <f t="shared" si="138"/>
        <v>opolskie</v>
      </c>
      <c r="F802">
        <v>56</v>
      </c>
      <c r="G802" t="s">
        <v>33</v>
      </c>
      <c r="H802">
        <v>1924</v>
      </c>
      <c r="I802">
        <v>1824</v>
      </c>
      <c r="J802">
        <v>1234</v>
      </c>
      <c r="K802">
        <v>1</v>
      </c>
      <c r="L802">
        <v>590</v>
      </c>
      <c r="M802">
        <v>1234</v>
      </c>
      <c r="N802">
        <v>1217</v>
      </c>
      <c r="O802">
        <v>17</v>
      </c>
      <c r="P802">
        <v>340</v>
      </c>
      <c r="Q802">
        <v>877</v>
      </c>
    </row>
    <row r="803" spans="1:17" ht="14.25">
      <c r="A803">
        <v>799</v>
      </c>
      <c r="B803" t="str">
        <f t="shared" si="139"/>
        <v>166101</v>
      </c>
      <c r="C803" t="str">
        <f t="shared" si="140"/>
        <v>m. Opole</v>
      </c>
      <c r="D803">
        <f>""</f>
      </c>
      <c r="E803" t="str">
        <f t="shared" si="138"/>
        <v>opolskie</v>
      </c>
      <c r="F803">
        <v>57</v>
      </c>
      <c r="G803" t="s">
        <v>34</v>
      </c>
      <c r="H803">
        <v>1641</v>
      </c>
      <c r="I803">
        <v>1584</v>
      </c>
      <c r="J803">
        <v>1093</v>
      </c>
      <c r="K803">
        <v>0</v>
      </c>
      <c r="L803">
        <v>491</v>
      </c>
      <c r="M803">
        <v>1091</v>
      </c>
      <c r="N803">
        <v>1075</v>
      </c>
      <c r="O803">
        <v>16</v>
      </c>
      <c r="P803">
        <v>338</v>
      </c>
      <c r="Q803">
        <v>737</v>
      </c>
    </row>
    <row r="804" spans="1:17" ht="14.25">
      <c r="A804">
        <v>800</v>
      </c>
      <c r="B804" t="str">
        <f t="shared" si="139"/>
        <v>166101</v>
      </c>
      <c r="C804" t="str">
        <f t="shared" si="140"/>
        <v>m. Opole</v>
      </c>
      <c r="D804">
        <f>""</f>
      </c>
      <c r="E804" t="str">
        <f t="shared" si="138"/>
        <v>opolskie</v>
      </c>
      <c r="F804">
        <v>58</v>
      </c>
      <c r="G804" t="s">
        <v>35</v>
      </c>
      <c r="H804">
        <v>998</v>
      </c>
      <c r="I804">
        <v>958</v>
      </c>
      <c r="J804">
        <v>664</v>
      </c>
      <c r="K804">
        <v>0</v>
      </c>
      <c r="L804">
        <v>294</v>
      </c>
      <c r="M804">
        <v>664</v>
      </c>
      <c r="N804">
        <v>661</v>
      </c>
      <c r="O804">
        <v>3</v>
      </c>
      <c r="P804">
        <v>157</v>
      </c>
      <c r="Q804">
        <v>504</v>
      </c>
    </row>
    <row r="805" spans="1:17" ht="14.25">
      <c r="A805">
        <v>801</v>
      </c>
      <c r="B805" t="str">
        <f t="shared" si="139"/>
        <v>166101</v>
      </c>
      <c r="C805" t="str">
        <f t="shared" si="140"/>
        <v>m. Opole</v>
      </c>
      <c r="D805">
        <f>""</f>
      </c>
      <c r="E805" t="str">
        <f t="shared" si="138"/>
        <v>opolskie</v>
      </c>
      <c r="F805">
        <v>59</v>
      </c>
      <c r="G805" t="str">
        <f>"Młodzieżowy Dom Kultury filia ZWM, ul. Skautów Opolskich 10"</f>
        <v>Młodzieżowy Dom Kultury filia ZWM, ul. Skautów Opolskich 10</v>
      </c>
      <c r="H805">
        <v>1484</v>
      </c>
      <c r="I805">
        <v>1439</v>
      </c>
      <c r="J805">
        <v>982</v>
      </c>
      <c r="K805">
        <v>0</v>
      </c>
      <c r="L805">
        <v>457</v>
      </c>
      <c r="M805">
        <v>982</v>
      </c>
      <c r="N805">
        <v>971</v>
      </c>
      <c r="O805">
        <v>11</v>
      </c>
      <c r="P805">
        <v>273</v>
      </c>
      <c r="Q805">
        <v>698</v>
      </c>
    </row>
    <row r="806" spans="1:17" ht="14.25">
      <c r="A806">
        <v>802</v>
      </c>
      <c r="B806" t="str">
        <f t="shared" si="139"/>
        <v>166101</v>
      </c>
      <c r="C806" t="str">
        <f t="shared" si="140"/>
        <v>m. Opole</v>
      </c>
      <c r="D806">
        <f>""</f>
      </c>
      <c r="E806" t="str">
        <f t="shared" si="138"/>
        <v>opolskie</v>
      </c>
      <c r="F806">
        <v>60</v>
      </c>
      <c r="G806" t="str">
        <f>"Publiczna Szkoła Podstawowa Nr 15, ul. Małopolska 20"</f>
        <v>Publiczna Szkoła Podstawowa Nr 15, ul. Małopolska 20</v>
      </c>
      <c r="H806">
        <v>1465</v>
      </c>
      <c r="I806">
        <v>1450</v>
      </c>
      <c r="J806">
        <v>932</v>
      </c>
      <c r="K806">
        <v>0</v>
      </c>
      <c r="L806">
        <v>518</v>
      </c>
      <c r="M806">
        <v>932</v>
      </c>
      <c r="N806">
        <v>913</v>
      </c>
      <c r="O806">
        <v>19</v>
      </c>
      <c r="P806">
        <v>237</v>
      </c>
      <c r="Q806">
        <v>676</v>
      </c>
    </row>
    <row r="807" spans="1:17" ht="14.25">
      <c r="A807">
        <v>803</v>
      </c>
      <c r="B807" t="str">
        <f t="shared" si="139"/>
        <v>166101</v>
      </c>
      <c r="C807" t="str">
        <f t="shared" si="140"/>
        <v>m. Opole</v>
      </c>
      <c r="D807">
        <f>""</f>
      </c>
      <c r="E807" t="str">
        <f t="shared" si="138"/>
        <v>opolskie</v>
      </c>
      <c r="F807">
        <v>61</v>
      </c>
      <c r="G807" t="str">
        <f>"Publiczna Szkoła Podstawowa Nr 15, ul. Małopolska 20"</f>
        <v>Publiczna Szkoła Podstawowa Nr 15, ul. Małopolska 20</v>
      </c>
      <c r="H807">
        <v>1621</v>
      </c>
      <c r="I807">
        <v>1439</v>
      </c>
      <c r="J807">
        <v>963</v>
      </c>
      <c r="K807">
        <v>0</v>
      </c>
      <c r="L807">
        <v>476</v>
      </c>
      <c r="M807">
        <v>963</v>
      </c>
      <c r="N807">
        <v>953</v>
      </c>
      <c r="O807">
        <v>10</v>
      </c>
      <c r="P807">
        <v>270</v>
      </c>
      <c r="Q807">
        <v>683</v>
      </c>
    </row>
    <row r="808" spans="1:17" ht="14.25">
      <c r="A808">
        <v>804</v>
      </c>
      <c r="B808" t="str">
        <f t="shared" si="139"/>
        <v>166101</v>
      </c>
      <c r="C808" t="str">
        <f t="shared" si="140"/>
        <v>m. Opole</v>
      </c>
      <c r="D808">
        <f>""</f>
      </c>
      <c r="E808" t="str">
        <f t="shared" si="138"/>
        <v>opolskie</v>
      </c>
      <c r="F808">
        <v>62</v>
      </c>
      <c r="G808" t="str">
        <f>"Publiczna Szkoła Podstawowa Nr 29, ul. Szarych Szeregów 1"</f>
        <v>Publiczna Szkoła Podstawowa Nr 29, ul. Szarych Szeregów 1</v>
      </c>
      <c r="H808">
        <v>1734</v>
      </c>
      <c r="I808">
        <v>1616</v>
      </c>
      <c r="J808">
        <v>1158</v>
      </c>
      <c r="K808">
        <v>0</v>
      </c>
      <c r="L808">
        <v>458</v>
      </c>
      <c r="M808">
        <v>1158</v>
      </c>
      <c r="N808">
        <v>1143</v>
      </c>
      <c r="O808">
        <v>15</v>
      </c>
      <c r="P808">
        <v>302</v>
      </c>
      <c r="Q808">
        <v>841</v>
      </c>
    </row>
    <row r="809" spans="1:17" ht="14.25">
      <c r="A809">
        <v>805</v>
      </c>
      <c r="B809" t="str">
        <f t="shared" si="139"/>
        <v>166101</v>
      </c>
      <c r="C809" t="str">
        <f t="shared" si="140"/>
        <v>m. Opole</v>
      </c>
      <c r="D809">
        <f>""</f>
      </c>
      <c r="E809" t="str">
        <f t="shared" si="138"/>
        <v>opolskie</v>
      </c>
      <c r="F809">
        <v>63</v>
      </c>
      <c r="G809" t="str">
        <f>"Areszt Śledczy, ul. Sądowa 4"</f>
        <v>Areszt Śledczy, ul. Sądowa 4</v>
      </c>
      <c r="H809">
        <v>411</v>
      </c>
      <c r="I809">
        <v>400</v>
      </c>
      <c r="J809">
        <v>272</v>
      </c>
      <c r="K809">
        <v>0</v>
      </c>
      <c r="L809">
        <v>128</v>
      </c>
      <c r="M809">
        <v>272</v>
      </c>
      <c r="N809">
        <v>266</v>
      </c>
      <c r="O809">
        <v>6</v>
      </c>
      <c r="P809">
        <v>26</v>
      </c>
      <c r="Q809">
        <v>240</v>
      </c>
    </row>
    <row r="810" spans="1:17" ht="14.25">
      <c r="A810">
        <v>806</v>
      </c>
      <c r="B810" t="str">
        <f t="shared" si="139"/>
        <v>166101</v>
      </c>
      <c r="C810" t="str">
        <f t="shared" si="140"/>
        <v>m. Opole</v>
      </c>
      <c r="D810">
        <f>""</f>
      </c>
      <c r="E810" t="str">
        <f t="shared" si="138"/>
        <v>opolskie</v>
      </c>
      <c r="F810">
        <v>64</v>
      </c>
      <c r="G810" t="str">
        <f>"Samodzielny Specjalistyczny Zespół Opieki Zdrowotnej nad Matką i Dzieckiem, ul. Władysława Reymonta 8"</f>
        <v>Samodzielny Specjalistyczny Zespół Opieki Zdrowotnej nad Matką i Dzieckiem, ul. Władysława Reymonta 8</v>
      </c>
      <c r="H810">
        <v>140</v>
      </c>
      <c r="I810">
        <v>98</v>
      </c>
      <c r="J810">
        <v>69</v>
      </c>
      <c r="K810">
        <v>0</v>
      </c>
      <c r="L810">
        <v>29</v>
      </c>
      <c r="M810">
        <v>69</v>
      </c>
      <c r="N810">
        <v>68</v>
      </c>
      <c r="O810">
        <v>1</v>
      </c>
      <c r="P810">
        <v>15</v>
      </c>
      <c r="Q810">
        <v>53</v>
      </c>
    </row>
    <row r="811" spans="1:17" ht="14.25">
      <c r="A811">
        <v>807</v>
      </c>
      <c r="B811" t="str">
        <f aca="true" t="shared" si="141" ref="B811:B816">"166101"</f>
        <v>166101</v>
      </c>
      <c r="C811" t="str">
        <f aca="true" t="shared" si="142" ref="C811:C816">"m. Opole"</f>
        <v>m. Opole</v>
      </c>
      <c r="D811">
        <f>""</f>
      </c>
      <c r="E811" t="str">
        <f t="shared" si="138"/>
        <v>opolskie</v>
      </c>
      <c r="F811">
        <v>65</v>
      </c>
      <c r="G811" t="str">
        <f>"Publiczny Samodzielny Zakład Opieki Zdrowotnej - Wojewódzkie Centrum Medyczne, Al. Wincentego Witosa 26"</f>
        <v>Publiczny Samodzielny Zakład Opieki Zdrowotnej - Wojewódzkie Centrum Medyczne, Al. Wincentego Witosa 26</v>
      </c>
      <c r="H811">
        <v>475</v>
      </c>
      <c r="I811">
        <v>400</v>
      </c>
      <c r="J811">
        <v>169</v>
      </c>
      <c r="K811">
        <v>0</v>
      </c>
      <c r="L811">
        <v>231</v>
      </c>
      <c r="M811">
        <v>169</v>
      </c>
      <c r="N811">
        <v>166</v>
      </c>
      <c r="O811">
        <v>3</v>
      </c>
      <c r="P811">
        <v>47</v>
      </c>
      <c r="Q811">
        <v>119</v>
      </c>
    </row>
    <row r="812" spans="1:17" ht="14.25">
      <c r="A812">
        <v>808</v>
      </c>
      <c r="B812" t="str">
        <f t="shared" si="141"/>
        <v>166101</v>
      </c>
      <c r="C812" t="str">
        <f t="shared" si="142"/>
        <v>m. Opole</v>
      </c>
      <c r="D812">
        <f>""</f>
      </c>
      <c r="E812" t="str">
        <f t="shared" si="138"/>
        <v>opolskie</v>
      </c>
      <c r="F812">
        <v>66</v>
      </c>
      <c r="G812" t="str">
        <f>"Szpital Wojewódzki, ul. Augustyna Kośnego 53"</f>
        <v>Szpital Wojewódzki, ul. Augustyna Kośnego 53</v>
      </c>
      <c r="H812">
        <v>485</v>
      </c>
      <c r="I812">
        <v>98</v>
      </c>
      <c r="J812">
        <v>59</v>
      </c>
      <c r="K812">
        <v>0</v>
      </c>
      <c r="L812">
        <v>39</v>
      </c>
      <c r="M812">
        <v>59</v>
      </c>
      <c r="N812">
        <v>59</v>
      </c>
      <c r="O812">
        <v>0</v>
      </c>
      <c r="P812">
        <v>21</v>
      </c>
      <c r="Q812">
        <v>38</v>
      </c>
    </row>
    <row r="813" spans="1:17" ht="14.25">
      <c r="A813">
        <v>809</v>
      </c>
      <c r="B813" t="str">
        <f t="shared" si="141"/>
        <v>166101</v>
      </c>
      <c r="C813" t="str">
        <f t="shared" si="142"/>
        <v>m. Opole</v>
      </c>
      <c r="D813">
        <f>""</f>
      </c>
      <c r="E813" t="str">
        <f t="shared" si="138"/>
        <v>opolskie</v>
      </c>
      <c r="F813">
        <v>67</v>
      </c>
      <c r="G813" t="str">
        <f>"Wojewódzki Specjalistyczny Zespół Neuropsychiatryczny, ul. Wodociągowa 4"</f>
        <v>Wojewódzki Specjalistyczny Zespół Neuropsychiatryczny, ul. Wodociągowa 4</v>
      </c>
      <c r="H813">
        <v>406</v>
      </c>
      <c r="I813">
        <v>100</v>
      </c>
      <c r="J813">
        <v>59</v>
      </c>
      <c r="K813">
        <v>0</v>
      </c>
      <c r="L813">
        <v>41</v>
      </c>
      <c r="M813">
        <v>59</v>
      </c>
      <c r="N813">
        <v>59</v>
      </c>
      <c r="O813">
        <v>0</v>
      </c>
      <c r="P813">
        <v>25</v>
      </c>
      <c r="Q813">
        <v>34</v>
      </c>
    </row>
    <row r="814" spans="1:17" ht="14.25">
      <c r="A814">
        <v>810</v>
      </c>
      <c r="B814" t="str">
        <f t="shared" si="141"/>
        <v>166101</v>
      </c>
      <c r="C814" t="str">
        <f t="shared" si="142"/>
        <v>m. Opole</v>
      </c>
      <c r="D814">
        <f>""</f>
      </c>
      <c r="E814" t="str">
        <f t="shared" si="138"/>
        <v>opolskie</v>
      </c>
      <c r="F814">
        <v>68</v>
      </c>
      <c r="G814" t="str">
        <f>"Zakład Karny, ul. Partyzancka 72"</f>
        <v>Zakład Karny, ul. Partyzancka 72</v>
      </c>
      <c r="H814">
        <v>188</v>
      </c>
      <c r="I814">
        <v>197</v>
      </c>
      <c r="J814">
        <v>120</v>
      </c>
      <c r="K814">
        <v>0</v>
      </c>
      <c r="L814">
        <v>77</v>
      </c>
      <c r="M814">
        <v>120</v>
      </c>
      <c r="N814">
        <v>118</v>
      </c>
      <c r="O814">
        <v>2</v>
      </c>
      <c r="P814">
        <v>9</v>
      </c>
      <c r="Q814">
        <v>109</v>
      </c>
    </row>
    <row r="815" spans="1:17" ht="14.25">
      <c r="A815">
        <v>811</v>
      </c>
      <c r="B815" t="str">
        <f t="shared" si="141"/>
        <v>166101</v>
      </c>
      <c r="C815" t="str">
        <f t="shared" si="142"/>
        <v>m. Opole</v>
      </c>
      <c r="D815">
        <f>""</f>
      </c>
      <c r="E815" t="str">
        <f t="shared" si="138"/>
        <v>opolskie</v>
      </c>
      <c r="F815">
        <v>69</v>
      </c>
      <c r="G815" t="str">
        <f>"Dom Pomocy Społecznej dla Kombatantów, ul. Chmielowicka 6"</f>
        <v>Dom Pomocy Społecznej dla Kombatantów, ul. Chmielowicka 6</v>
      </c>
      <c r="H815">
        <v>137</v>
      </c>
      <c r="I815">
        <v>147</v>
      </c>
      <c r="J815">
        <v>102</v>
      </c>
      <c r="K815">
        <v>0</v>
      </c>
      <c r="L815">
        <v>45</v>
      </c>
      <c r="M815">
        <v>102</v>
      </c>
      <c r="N815">
        <v>99</v>
      </c>
      <c r="O815">
        <v>3</v>
      </c>
      <c r="P815">
        <v>29</v>
      </c>
      <c r="Q815">
        <v>70</v>
      </c>
    </row>
    <row r="816" spans="1:17" ht="14.25">
      <c r="A816">
        <v>812</v>
      </c>
      <c r="B816" t="str">
        <f t="shared" si="141"/>
        <v>166101</v>
      </c>
      <c r="C816" t="str">
        <f t="shared" si="142"/>
        <v>m. Opole</v>
      </c>
      <c r="D816">
        <f>""</f>
      </c>
      <c r="E816" t="str">
        <f t="shared" si="138"/>
        <v>opolskie</v>
      </c>
      <c r="F816">
        <v>70</v>
      </c>
      <c r="G816" t="str">
        <f>"Samodzielny Publiczny Zakład Opoieki Zdrowotnej Opolskie Centrum Onkologii w Opolu, ul. Katowicka 66A"</f>
        <v>Samodzielny Publiczny Zakład Opoieki Zdrowotnej Opolskie Centrum Onkologii w Opolu, ul. Katowicka 66A</v>
      </c>
      <c r="H816">
        <v>48</v>
      </c>
      <c r="I816">
        <v>98</v>
      </c>
      <c r="J816">
        <v>32</v>
      </c>
      <c r="K816">
        <v>0</v>
      </c>
      <c r="L816">
        <v>66</v>
      </c>
      <c r="M816">
        <v>32</v>
      </c>
      <c r="N816">
        <v>32</v>
      </c>
      <c r="O816">
        <v>0</v>
      </c>
      <c r="P816">
        <v>10</v>
      </c>
      <c r="Q816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Opole</cp:lastModifiedBy>
  <dcterms:created xsi:type="dcterms:W3CDTF">2010-07-06T08:00:31Z</dcterms:created>
  <dcterms:modified xsi:type="dcterms:W3CDTF">2010-07-06T08:12:42Z</dcterms:modified>
  <cp:category/>
  <cp:version/>
  <cp:contentType/>
  <cp:contentStatus/>
</cp:coreProperties>
</file>